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apc365.sharepoint.com/sites/MAPCHousingTeam2/Shared Documents/Project Work/EFAs/Newton EFA/Pro forma/"/>
    </mc:Choice>
  </mc:AlternateContent>
  <xr:revisionPtr revIDLastSave="1585" documentId="13_ncr:1_{0F0D0EEC-501B-4C8F-805C-5BC3203573CF}" xr6:coauthVersionLast="47" xr6:coauthVersionMax="47" xr10:uidLastSave="{1F8DD8F9-0014-4553-8A4E-A901EA48B51F}"/>
  <bookViews>
    <workbookView xWindow="30780" yWindow="510" windowWidth="24195" windowHeight="14565" tabRatio="805" activeTab="1" xr2:uid="{00000000-000D-0000-FFFF-FFFF00000000}"/>
  </bookViews>
  <sheets>
    <sheet name="Summary" sheetId="26" r:id="rId1"/>
    <sheet name="Assumptions" sheetId="20" r:id="rId2"/>
    <sheet name="Dev Program" sheetId="15" r:id="rId3"/>
    <sheet name="Dev Costs" sheetId="16" r:id="rId4"/>
    <sheet name="Operating" sheetId="17" r:id="rId5"/>
    <sheet name="IZ Units" sheetId="1" r:id="rId6"/>
    <sheet name="Affordability" sheetId="11" r:id="rId7"/>
    <sheet name="Financing" sheetId="5" r:id="rId8"/>
    <sheet name="Profitability" sheetId="4" r:id="rId9"/>
    <sheet name="Ownership" sheetId="23" r:id="rId10"/>
    <sheet name="EOHLC Checklist" sheetId="25" r:id="rId11"/>
  </sheets>
  <definedNames>
    <definedName name="_xlnm.Print_Area" localSheetId="5">'IZ Units'!$A$3:$J$59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6" l="1"/>
  <c r="A6" i="26"/>
  <c r="B6" i="26"/>
  <c r="C6" i="26"/>
  <c r="D6" i="26"/>
  <c r="C31" i="23"/>
  <c r="C30" i="23"/>
  <c r="C29" i="23"/>
  <c r="C28" i="23"/>
  <c r="M32" i="11"/>
  <c r="O32" i="11"/>
  <c r="O36" i="11"/>
  <c r="N32" i="11"/>
  <c r="L32" i="11"/>
  <c r="L36" i="11"/>
  <c r="L38" i="11"/>
  <c r="M30" i="11"/>
  <c r="N30" i="11"/>
  <c r="N36" i="11" s="1"/>
  <c r="O30" i="11"/>
  <c r="L30" i="11"/>
  <c r="M29" i="11"/>
  <c r="N29" i="11"/>
  <c r="O29" i="11"/>
  <c r="L29" i="11"/>
  <c r="M28" i="11"/>
  <c r="N28" i="11"/>
  <c r="O28" i="11"/>
  <c r="L28" i="11"/>
  <c r="M10" i="11"/>
  <c r="N10" i="11"/>
  <c r="O10" i="11"/>
  <c r="L10" i="11"/>
  <c r="M40" i="11"/>
  <c r="N40" i="11" s="1"/>
  <c r="O40" i="11" s="1"/>
  <c r="M36" i="11"/>
  <c r="O14" i="11"/>
  <c r="N14" i="11"/>
  <c r="M14" i="11"/>
  <c r="L14" i="11"/>
  <c r="L39" i="11" l="1"/>
  <c r="L41" i="11" s="1"/>
  <c r="M38" i="11"/>
  <c r="K16" i="20"/>
  <c r="E15" i="15"/>
  <c r="E41" i="17" s="1"/>
  <c r="B13" i="16"/>
  <c r="B5" i="17"/>
  <c r="B4" i="17"/>
  <c r="M39" i="11" l="1"/>
  <c r="M41" i="11" s="1"/>
  <c r="N38" i="11"/>
  <c r="B12" i="16"/>
  <c r="B14" i="16" s="1"/>
  <c r="E42" i="17"/>
  <c r="L20" i="11"/>
  <c r="M20" i="11"/>
  <c r="N20" i="11" s="1"/>
  <c r="O20" i="11" s="1"/>
  <c r="H6" i="23"/>
  <c r="B4" i="16"/>
  <c r="B26" i="16"/>
  <c r="E48" i="17"/>
  <c r="E49" i="17" s="1"/>
  <c r="H7" i="23"/>
  <c r="N39" i="11" l="1"/>
  <c r="N41" i="11" s="1"/>
  <c r="O38" i="11"/>
  <c r="O39" i="11" s="1"/>
  <c r="O41" i="11" s="1"/>
  <c r="D2" i="26"/>
  <c r="D3" i="26"/>
  <c r="D4" i="26"/>
  <c r="D5" i="26"/>
  <c r="C3" i="26"/>
  <c r="C4" i="26"/>
  <c r="C5" i="26"/>
  <c r="C2" i="26"/>
  <c r="B3" i="26"/>
  <c r="B4" i="26"/>
  <c r="B2" i="26"/>
  <c r="A4" i="26"/>
  <c r="A5" i="26"/>
  <c r="A3" i="26"/>
  <c r="A2" i="26"/>
  <c r="B3" i="16"/>
  <c r="B31" i="16" s="1"/>
  <c r="B20" i="16" l="1"/>
  <c r="E18" i="15"/>
  <c r="B8" i="16" l="1"/>
  <c r="H15" i="1"/>
  <c r="G15" i="1"/>
  <c r="F15" i="1"/>
  <c r="E15" i="1"/>
  <c r="D15" i="1"/>
  <c r="C15" i="1"/>
  <c r="M3" i="1"/>
  <c r="H4" i="1"/>
  <c r="G4" i="1"/>
  <c r="F4" i="1"/>
  <c r="E4" i="1"/>
  <c r="D4" i="1"/>
  <c r="C4" i="1"/>
  <c r="I4" i="1" l="1"/>
  <c r="P4" i="1"/>
  <c r="M7" i="1"/>
  <c r="M6" i="1"/>
  <c r="M5" i="1"/>
  <c r="I5" i="1" l="1"/>
  <c r="E5" i="1"/>
  <c r="D16" i="1"/>
  <c r="D5" i="1"/>
  <c r="F16" i="1"/>
  <c r="E16" i="1"/>
  <c r="C16" i="1"/>
  <c r="H16" i="1"/>
  <c r="C5" i="1"/>
  <c r="G16" i="1"/>
  <c r="G5" i="1"/>
  <c r="F5" i="1"/>
  <c r="B18" i="16"/>
  <c r="B16" i="16"/>
  <c r="B5" i="16"/>
  <c r="B4" i="15"/>
  <c r="E3" i="4"/>
  <c r="B47" i="25"/>
  <c r="B46" i="25"/>
  <c r="B36" i="25"/>
  <c r="B33" i="25"/>
  <c r="B32" i="25"/>
  <c r="B31" i="25"/>
  <c r="B29" i="25"/>
  <c r="B27" i="25"/>
  <c r="B26" i="25"/>
  <c r="B25" i="25"/>
  <c r="B22" i="25"/>
  <c r="B20" i="25"/>
  <c r="B15" i="25"/>
  <c r="G10" i="25"/>
  <c r="G11" i="25"/>
  <c r="G12" i="25"/>
  <c r="G9" i="25"/>
  <c r="B10" i="25"/>
  <c r="B11" i="25"/>
  <c r="B12" i="25"/>
  <c r="B9" i="25"/>
  <c r="C5" i="23"/>
  <c r="C6" i="23"/>
  <c r="C7" i="23"/>
  <c r="C4" i="23"/>
  <c r="H5" i="1" l="1"/>
  <c r="H12" i="1" s="1"/>
  <c r="C12" i="1"/>
  <c r="D12" i="1"/>
  <c r="E12" i="1"/>
  <c r="F12" i="1"/>
  <c r="G12" i="1"/>
  <c r="C23" i="1"/>
  <c r="D23" i="1"/>
  <c r="E23" i="1"/>
  <c r="F23" i="1"/>
  <c r="G23" i="1"/>
  <c r="H23" i="1"/>
  <c r="I15" i="1"/>
  <c r="B15" i="1" s="1"/>
  <c r="M9" i="1" l="1"/>
  <c r="M10" i="1"/>
  <c r="B4" i="5"/>
  <c r="B41" i="25" s="1"/>
  <c r="B5" i="5"/>
  <c r="B42" i="25" s="1"/>
  <c r="B6" i="5"/>
  <c r="B7" i="5"/>
  <c r="B8" i="5"/>
  <c r="B44" i="25" s="1"/>
  <c r="B10" i="17"/>
  <c r="B11" i="17"/>
  <c r="B12" i="17"/>
  <c r="B9" i="17"/>
  <c r="B3" i="17"/>
  <c r="B9" i="16"/>
  <c r="D10" i="15"/>
  <c r="D9" i="15"/>
  <c r="D8" i="15"/>
  <c r="D7" i="15"/>
  <c r="B12" i="15"/>
  <c r="B10" i="15"/>
  <c r="B9" i="15"/>
  <c r="B8" i="15"/>
  <c r="B7" i="15"/>
  <c r="C20" i="20"/>
  <c r="B3" i="15"/>
  <c r="M22" i="11"/>
  <c r="N22" i="11" s="1"/>
  <c r="O22" i="11" s="1"/>
  <c r="P7" i="1" l="1"/>
  <c r="P8" i="1" s="1"/>
  <c r="H8" i="1"/>
  <c r="H9" i="1"/>
  <c r="H11" i="1"/>
  <c r="P5" i="1"/>
  <c r="C11" i="1"/>
  <c r="C9" i="1"/>
  <c r="C8" i="1"/>
  <c r="D11" i="1"/>
  <c r="D9" i="1"/>
  <c r="D8" i="1"/>
  <c r="E11" i="1"/>
  <c r="E9" i="1"/>
  <c r="E8" i="1"/>
  <c r="F11" i="1"/>
  <c r="F9" i="1"/>
  <c r="F8" i="1"/>
  <c r="G11" i="1"/>
  <c r="G9" i="1"/>
  <c r="G8" i="1"/>
  <c r="C22" i="1"/>
  <c r="B11" i="23" s="1"/>
  <c r="C20" i="1"/>
  <c r="B9" i="23" s="1"/>
  <c r="C19" i="1"/>
  <c r="D22" i="1"/>
  <c r="B15" i="23" s="1"/>
  <c r="D20" i="1"/>
  <c r="B13" i="23" s="1"/>
  <c r="D19" i="1"/>
  <c r="B12" i="23" s="1"/>
  <c r="E22" i="1"/>
  <c r="B19" i="23" s="1"/>
  <c r="E20" i="1"/>
  <c r="B17" i="23" s="1"/>
  <c r="E19" i="1"/>
  <c r="B16" i="23" s="1"/>
  <c r="F22" i="1"/>
  <c r="B23" i="23" s="1"/>
  <c r="F20" i="1"/>
  <c r="B21" i="23" s="1"/>
  <c r="F19" i="1"/>
  <c r="G22" i="1"/>
  <c r="B27" i="23" s="1"/>
  <c r="G20" i="1"/>
  <c r="B25" i="23" s="1"/>
  <c r="G19" i="1"/>
  <c r="H22" i="1"/>
  <c r="B31" i="23" s="1"/>
  <c r="H20" i="1"/>
  <c r="B29" i="23" s="1"/>
  <c r="H19" i="1"/>
  <c r="B28" i="23" s="1"/>
  <c r="B9" i="5"/>
  <c r="E17" i="15"/>
  <c r="B11" i="15"/>
  <c r="B30" i="16" l="1"/>
  <c r="H10" i="1"/>
  <c r="F21" i="1"/>
  <c r="B22" i="23" s="1"/>
  <c r="D10" i="1"/>
  <c r="G21" i="1"/>
  <c r="B26" i="23" s="1"/>
  <c r="C21" i="1"/>
  <c r="B10" i="23" s="1"/>
  <c r="E10" i="1"/>
  <c r="B24" i="23"/>
  <c r="E21" i="1"/>
  <c r="B18" i="23" s="1"/>
  <c r="G10" i="1"/>
  <c r="C10" i="1"/>
  <c r="B8" i="23"/>
  <c r="B20" i="23"/>
  <c r="D20" i="23" s="1"/>
  <c r="H21" i="1"/>
  <c r="B30" i="23" s="1"/>
  <c r="D21" i="1"/>
  <c r="B14" i="23" s="1"/>
  <c r="F10" i="1"/>
  <c r="E22" i="15"/>
  <c r="B21" i="16" s="1"/>
  <c r="E21" i="15"/>
  <c r="E20" i="15"/>
  <c r="E44" i="17" s="1"/>
  <c r="J13" i="1"/>
  <c r="I16" i="1"/>
  <c r="B16" i="1" s="1"/>
  <c r="B23" i="1" s="1"/>
  <c r="C10" i="15"/>
  <c r="B22" i="1" s="1"/>
  <c r="B19" i="16" l="1"/>
  <c r="E45" i="17"/>
  <c r="B17" i="16"/>
  <c r="E23" i="15"/>
  <c r="E10" i="15"/>
  <c r="C7" i="15"/>
  <c r="B19" i="1" s="1"/>
  <c r="C8" i="15"/>
  <c r="B20" i="1" s="1"/>
  <c r="B22" i="16" l="1"/>
  <c r="C21" i="16"/>
  <c r="I22" i="1"/>
  <c r="B7" i="23"/>
  <c r="E7" i="15"/>
  <c r="E8" i="15"/>
  <c r="C9" i="15"/>
  <c r="B21" i="1" s="1"/>
  <c r="I21" i="1" l="1"/>
  <c r="I19" i="1"/>
  <c r="B4" i="23"/>
  <c r="I20" i="1"/>
  <c r="B5" i="23"/>
  <c r="C11" i="15"/>
  <c r="E9" i="15"/>
  <c r="E11" i="15" s="1"/>
  <c r="C18" i="11"/>
  <c r="D18" i="11"/>
  <c r="E18" i="11"/>
  <c r="F18" i="11"/>
  <c r="G18" i="11"/>
  <c r="C19" i="11"/>
  <c r="B14" i="17" s="1"/>
  <c r="D19" i="11"/>
  <c r="B15" i="17" s="1"/>
  <c r="E19" i="11"/>
  <c r="B16" i="17" s="1"/>
  <c r="F19" i="11"/>
  <c r="G19" i="11"/>
  <c r="C23" i="11"/>
  <c r="D23" i="11"/>
  <c r="E23" i="11"/>
  <c r="F23" i="11"/>
  <c r="G23" i="11"/>
  <c r="B19" i="11"/>
  <c r="B13" i="17" s="1"/>
  <c r="B23" i="11"/>
  <c r="B18" i="11"/>
  <c r="B10" i="11"/>
  <c r="C10" i="11"/>
  <c r="C13" i="11" s="1"/>
  <c r="C27" i="11" s="1"/>
  <c r="D10" i="11"/>
  <c r="D13" i="11" s="1"/>
  <c r="D27" i="11" s="1"/>
  <c r="E10" i="11"/>
  <c r="E13" i="11" s="1"/>
  <c r="E27" i="11" s="1"/>
  <c r="F10" i="11"/>
  <c r="F13" i="11" s="1"/>
  <c r="F27" i="11" s="1"/>
  <c r="G10" i="11"/>
  <c r="G13" i="11" s="1"/>
  <c r="G27" i="11" s="1"/>
  <c r="I23" i="1" l="1"/>
  <c r="B6" i="23"/>
  <c r="B26" i="17"/>
  <c r="B28" i="17"/>
  <c r="B27" i="17"/>
  <c r="B25" i="17"/>
  <c r="E12" i="15"/>
  <c r="E13" i="15" s="1"/>
  <c r="H13" i="15" s="1"/>
  <c r="C12" i="11"/>
  <c r="C26" i="11" s="1"/>
  <c r="G12" i="11"/>
  <c r="G26" i="11" s="1"/>
  <c r="E12" i="11"/>
  <c r="E26" i="11" s="1"/>
  <c r="B13" i="11"/>
  <c r="B27" i="11" s="1"/>
  <c r="B12" i="11"/>
  <c r="B26" i="11" s="1"/>
  <c r="F12" i="11"/>
  <c r="F26" i="11" s="1"/>
  <c r="D12" i="11"/>
  <c r="D26" i="11" s="1"/>
  <c r="F6" i="11"/>
  <c r="F20" i="11" s="1"/>
  <c r="F8" i="11"/>
  <c r="F22" i="11" s="1"/>
  <c r="G6" i="11"/>
  <c r="G20" i="11" s="1"/>
  <c r="G8" i="11"/>
  <c r="G22" i="11" s="1"/>
  <c r="E7" i="11"/>
  <c r="E21" i="11" s="1"/>
  <c r="B24" i="17" s="1"/>
  <c r="E8" i="11"/>
  <c r="D11" i="11"/>
  <c r="D25" i="11" s="1"/>
  <c r="B35" i="17" s="1"/>
  <c r="D8" i="11"/>
  <c r="C11" i="11"/>
  <c r="C25" i="11" s="1"/>
  <c r="B34" i="17" s="1"/>
  <c r="C8" i="11"/>
  <c r="B11" i="11"/>
  <c r="B25" i="11" s="1"/>
  <c r="B33" i="17" s="1"/>
  <c r="B8" i="11"/>
  <c r="B24" i="11"/>
  <c r="E24" i="11"/>
  <c r="F24" i="11"/>
  <c r="C24" i="11"/>
  <c r="D24" i="11"/>
  <c r="G24" i="11"/>
  <c r="F11" i="11"/>
  <c r="F25" i="11" s="1"/>
  <c r="E11" i="11"/>
  <c r="E25" i="11" s="1"/>
  <c r="B36" i="17" s="1"/>
  <c r="G11" i="11"/>
  <c r="G25" i="11" s="1"/>
  <c r="B7" i="11"/>
  <c r="B21" i="11" s="1"/>
  <c r="B21" i="17" s="1"/>
  <c r="B6" i="11"/>
  <c r="B20" i="11" s="1"/>
  <c r="B17" i="17" s="1"/>
  <c r="D6" i="11"/>
  <c r="D20" i="11" s="1"/>
  <c r="B19" i="17" s="1"/>
  <c r="C7" i="11"/>
  <c r="C21" i="11" s="1"/>
  <c r="B22" i="17" s="1"/>
  <c r="C6" i="11"/>
  <c r="C20" i="11" s="1"/>
  <c r="B18" i="17" s="1"/>
  <c r="E6" i="11"/>
  <c r="E20" i="11" s="1"/>
  <c r="B20" i="17" s="1"/>
  <c r="G7" i="11"/>
  <c r="G21" i="11" s="1"/>
  <c r="F7" i="11"/>
  <c r="F21" i="11" s="1"/>
  <c r="D7" i="11"/>
  <c r="D21" i="11" s="1"/>
  <c r="B23" i="17" s="1"/>
  <c r="C22" i="11" l="1"/>
  <c r="M12" i="11" s="1"/>
  <c r="M11" i="11"/>
  <c r="D22" i="11"/>
  <c r="N12" i="11" s="1"/>
  <c r="N11" i="11"/>
  <c r="E22" i="11"/>
  <c r="O12" i="11" s="1"/>
  <c r="O11" i="11"/>
  <c r="B22" i="11"/>
  <c r="L12" i="11" s="1"/>
  <c r="L11" i="11"/>
  <c r="B32" i="17"/>
  <c r="B31" i="17"/>
  <c r="B30" i="17"/>
  <c r="B29" i="17"/>
  <c r="B7" i="16"/>
  <c r="B10" i="16" l="1"/>
  <c r="B24" i="16" s="1"/>
  <c r="B27" i="16" s="1"/>
  <c r="B29" i="16" s="1"/>
  <c r="B33" i="16" s="1"/>
  <c r="H4" i="23" s="1"/>
  <c r="F7" i="16"/>
  <c r="F8" i="16" s="1"/>
  <c r="B3" i="4"/>
  <c r="D26" i="17" l="1"/>
  <c r="E26" i="17" s="1"/>
  <c r="D22" i="17"/>
  <c r="E22" i="17" s="1"/>
  <c r="D17" i="23"/>
  <c r="D18" i="17"/>
  <c r="E18" i="17" s="1"/>
  <c r="D13" i="23"/>
  <c r="D15" i="23"/>
  <c r="D20" i="17"/>
  <c r="E20" i="17" s="1"/>
  <c r="D16" i="17"/>
  <c r="E16" i="17" s="1"/>
  <c r="D11" i="23"/>
  <c r="D24" i="17"/>
  <c r="E24" i="17" s="1"/>
  <c r="D19" i="23"/>
  <c r="D17" i="17"/>
  <c r="E17" i="17" s="1"/>
  <c r="D12" i="23"/>
  <c r="D14" i="17"/>
  <c r="E14" i="17" s="1"/>
  <c r="D9" i="23"/>
  <c r="D8" i="23"/>
  <c r="D13" i="17"/>
  <c r="E13" i="17" s="1"/>
  <c r="D16" i="23"/>
  <c r="D21" i="17"/>
  <c r="E21" i="17" s="1"/>
  <c r="D25" i="17"/>
  <c r="E25" i="17" s="1"/>
  <c r="D28" i="17"/>
  <c r="E28" i="17" s="1"/>
  <c r="B34" i="16" l="1"/>
  <c r="D14" i="23"/>
  <c r="D19" i="17"/>
  <c r="E19" i="17" s="1"/>
  <c r="D23" i="17"/>
  <c r="E23" i="17" s="1"/>
  <c r="D18" i="23"/>
  <c r="D27" i="17"/>
  <c r="E27" i="17" s="1"/>
  <c r="D10" i="23"/>
  <c r="D15" i="17"/>
  <c r="E15" i="17" s="1"/>
  <c r="C7" i="4"/>
  <c r="D7" i="4" s="1"/>
  <c r="E7" i="4" s="1"/>
  <c r="F7" i="4" s="1"/>
  <c r="G7" i="4" s="1"/>
  <c r="H7" i="4" s="1"/>
  <c r="I7" i="4" s="1"/>
  <c r="J7" i="4" s="1"/>
  <c r="K7" i="4" s="1"/>
  <c r="L7" i="4" s="1"/>
  <c r="B22" i="5"/>
  <c r="B23" i="5" s="1"/>
  <c r="C22" i="5" s="1"/>
  <c r="C23" i="5" s="1"/>
  <c r="D22" i="5" s="1"/>
  <c r="D23" i="5" s="1"/>
  <c r="E22" i="5" s="1"/>
  <c r="E23" i="5" s="1"/>
  <c r="F22" i="5" s="1"/>
  <c r="F23" i="5" s="1"/>
  <c r="G22" i="5" s="1"/>
  <c r="G23" i="5" s="1"/>
  <c r="H22" i="5" s="1"/>
  <c r="H23" i="5" s="1"/>
  <c r="I22" i="5" s="1"/>
  <c r="I23" i="5" s="1"/>
  <c r="J22" i="5" s="1"/>
  <c r="J23" i="5" s="1"/>
  <c r="K22" i="5" s="1"/>
  <c r="K23" i="5" s="1"/>
  <c r="L22" i="5" s="1"/>
  <c r="L23" i="5" s="1"/>
  <c r="M22" i="5" s="1"/>
  <c r="M23" i="5" s="1"/>
  <c r="N22" i="5" s="1"/>
  <c r="N23" i="5" s="1"/>
  <c r="O22" i="5" s="1"/>
  <c r="O23" i="5" s="1"/>
  <c r="P22" i="5" s="1"/>
  <c r="P23" i="5" s="1"/>
  <c r="Q22" i="5" s="1"/>
  <c r="Q23" i="5" s="1"/>
  <c r="R22" i="5" s="1"/>
  <c r="R23" i="5" s="1"/>
  <c r="S22" i="5" s="1"/>
  <c r="S23" i="5" s="1"/>
  <c r="T22" i="5" s="1"/>
  <c r="T23" i="5" s="1"/>
  <c r="U22" i="5" s="1"/>
  <c r="U23" i="5" s="1"/>
  <c r="V22" i="5" s="1"/>
  <c r="V23" i="5" s="1"/>
  <c r="W22" i="5" s="1"/>
  <c r="W23" i="5" s="1"/>
  <c r="X22" i="5" s="1"/>
  <c r="X23" i="5" s="1"/>
  <c r="Y22" i="5" s="1"/>
  <c r="Y23" i="5" s="1"/>
  <c r="Z22" i="5" s="1"/>
  <c r="Z23" i="5" s="1"/>
  <c r="AA22" i="5" s="1"/>
  <c r="AA23" i="5" s="1"/>
  <c r="AB22" i="5" s="1"/>
  <c r="AB23" i="5" s="1"/>
  <c r="AC22" i="5" s="1"/>
  <c r="AC23" i="5" s="1"/>
  <c r="AD22" i="5" s="1"/>
  <c r="AD23" i="5" s="1"/>
  <c r="AE22" i="5" s="1"/>
  <c r="AE23" i="5" s="1"/>
  <c r="C20" i="5"/>
  <c r="D20" i="5" s="1"/>
  <c r="E20" i="5" s="1"/>
  <c r="F20" i="5" s="1"/>
  <c r="G20" i="5" s="1"/>
  <c r="H20" i="5" s="1"/>
  <c r="I20" i="5" s="1"/>
  <c r="J20" i="5" s="1"/>
  <c r="K20" i="5" s="1"/>
  <c r="L20" i="5" s="1"/>
  <c r="M20" i="5" s="1"/>
  <c r="N20" i="5" s="1"/>
  <c r="O20" i="5" s="1"/>
  <c r="P20" i="5" s="1"/>
  <c r="Q20" i="5" s="1"/>
  <c r="R20" i="5" s="1"/>
  <c r="S20" i="5" s="1"/>
  <c r="T20" i="5" s="1"/>
  <c r="U20" i="5" s="1"/>
  <c r="V20" i="5" s="1"/>
  <c r="W20" i="5" s="1"/>
  <c r="X20" i="5" s="1"/>
  <c r="Y20" i="5" s="1"/>
  <c r="Z20" i="5" s="1"/>
  <c r="AA20" i="5" s="1"/>
  <c r="AB20" i="5" s="1"/>
  <c r="AC20" i="5" s="1"/>
  <c r="AD20" i="5" s="1"/>
  <c r="AE20" i="5" s="1"/>
  <c r="H9" i="23" l="1"/>
  <c r="I4" i="23"/>
  <c r="M7" i="4"/>
  <c r="L19" i="4"/>
  <c r="D30" i="17" l="1"/>
  <c r="E30" i="17" s="1"/>
  <c r="D25" i="23"/>
  <c r="D32" i="17"/>
  <c r="E32" i="17" s="1"/>
  <c r="D27" i="23"/>
  <c r="D29" i="17"/>
  <c r="E29" i="17" s="1"/>
  <c r="D24" i="23"/>
  <c r="D33" i="17"/>
  <c r="E33" i="17" s="1"/>
  <c r="D28" i="23"/>
  <c r="D34" i="17"/>
  <c r="E34" i="17" s="1"/>
  <c r="D29" i="23"/>
  <c r="D36" i="17"/>
  <c r="E36" i="17" s="1"/>
  <c r="D31" i="23"/>
  <c r="B4" i="1"/>
  <c r="D30" i="23"/>
  <c r="B5" i="1"/>
  <c r="B12" i="1" s="1"/>
  <c r="N7" i="4"/>
  <c r="M19" i="4"/>
  <c r="B11" i="1" l="1"/>
  <c r="B9" i="1"/>
  <c r="B8" i="1"/>
  <c r="D31" i="17"/>
  <c r="E31" i="17" s="1"/>
  <c r="D26" i="23"/>
  <c r="D35" i="17"/>
  <c r="E35" i="17" s="1"/>
  <c r="O7" i="4"/>
  <c r="N19" i="4"/>
  <c r="B10" i="1" l="1"/>
  <c r="P7" i="4"/>
  <c r="O19" i="4"/>
  <c r="Q7" i="4" l="1"/>
  <c r="P19" i="4"/>
  <c r="R7" i="4" l="1"/>
  <c r="Q19" i="4"/>
  <c r="D7" i="23"/>
  <c r="D4" i="23"/>
  <c r="I8" i="1" l="1"/>
  <c r="D9" i="17"/>
  <c r="I11" i="1"/>
  <c r="D12" i="17"/>
  <c r="E12" i="17" s="1"/>
  <c r="D5" i="23"/>
  <c r="S7" i="4"/>
  <c r="R19" i="4"/>
  <c r="I9" i="1" l="1"/>
  <c r="D10" i="17"/>
  <c r="E10" i="17" s="1"/>
  <c r="E9" i="17"/>
  <c r="T7" i="4"/>
  <c r="S19" i="4"/>
  <c r="U7" i="4" l="1"/>
  <c r="T19" i="4"/>
  <c r="B10" i="4" l="1"/>
  <c r="V7" i="4"/>
  <c r="U19" i="4"/>
  <c r="C10" i="4" l="1"/>
  <c r="D10" i="4" s="1"/>
  <c r="E10" i="4" s="1"/>
  <c r="F10" i="4" s="1"/>
  <c r="G10" i="4" s="1"/>
  <c r="H10" i="4" s="1"/>
  <c r="I10" i="4" s="1"/>
  <c r="J10" i="4" s="1"/>
  <c r="K10" i="4" s="1"/>
  <c r="L10" i="4" s="1"/>
  <c r="M10" i="4" s="1"/>
  <c r="N10" i="4" s="1"/>
  <c r="O10" i="4" s="1"/>
  <c r="P10" i="4" s="1"/>
  <c r="Q10" i="4" s="1"/>
  <c r="R10" i="4" s="1"/>
  <c r="S10" i="4" s="1"/>
  <c r="T10" i="4" s="1"/>
  <c r="U10" i="4" s="1"/>
  <c r="V10" i="4" s="1"/>
  <c r="W10" i="4" s="1"/>
  <c r="X10" i="4" s="1"/>
  <c r="Y10" i="4" s="1"/>
  <c r="Z10" i="4" s="1"/>
  <c r="AA10" i="4" s="1"/>
  <c r="AB10" i="4" s="1"/>
  <c r="AC10" i="4" s="1"/>
  <c r="AD10" i="4" s="1"/>
  <c r="AE10" i="4" s="1"/>
  <c r="W7" i="4"/>
  <c r="V19" i="4"/>
  <c r="X7" i="4" l="1"/>
  <c r="W19" i="4"/>
  <c r="Y7" i="4" l="1"/>
  <c r="X19" i="4"/>
  <c r="Z7" i="4" l="1"/>
  <c r="Y19" i="4"/>
  <c r="AA7" i="4" l="1"/>
  <c r="Z19" i="4"/>
  <c r="AB7" i="4" l="1"/>
  <c r="AA19" i="4"/>
  <c r="AC7" i="4" l="1"/>
  <c r="AB19" i="4"/>
  <c r="AD7" i="4" l="1"/>
  <c r="AC19" i="4"/>
  <c r="AE7" i="4" l="1"/>
  <c r="AE19" i="4" s="1"/>
  <c r="AD19" i="4"/>
  <c r="D6" i="23" l="1"/>
  <c r="I10" i="1" l="1"/>
  <c r="I12" i="1" s="1"/>
  <c r="D11" i="17"/>
  <c r="J11" i="1" l="1"/>
  <c r="J23" i="1"/>
  <c r="E11" i="17"/>
  <c r="J12" i="1"/>
  <c r="E38" i="17" l="1"/>
  <c r="E39" i="17" l="1"/>
  <c r="E46" i="17" s="1"/>
  <c r="F49" i="17" s="1"/>
  <c r="B38" i="25" l="1"/>
  <c r="B9" i="4"/>
  <c r="B11" i="4" s="1"/>
  <c r="E51" i="17"/>
  <c r="F51" i="17" s="1"/>
  <c r="B10" i="5" l="1"/>
  <c r="B12" i="5" s="1"/>
  <c r="C9" i="4"/>
  <c r="C11" i="4" s="1"/>
  <c r="B13" i="5" l="1"/>
  <c r="B14" i="5" s="1"/>
  <c r="B17" i="5" s="1"/>
  <c r="D9" i="4"/>
  <c r="D11" i="4" s="1"/>
  <c r="E9" i="4" l="1"/>
  <c r="E11" i="4" s="1"/>
  <c r="B15" i="5"/>
  <c r="P13" i="4" s="1"/>
  <c r="B21" i="5"/>
  <c r="B24" i="5" s="1"/>
  <c r="B25" i="5" s="1"/>
  <c r="B17" i="4" s="1"/>
  <c r="F9" i="4" l="1"/>
  <c r="F11" i="4" s="1"/>
  <c r="AA13" i="4"/>
  <c r="T13" i="4"/>
  <c r="W13" i="4"/>
  <c r="O13" i="4"/>
  <c r="U13" i="4"/>
  <c r="AE13" i="4"/>
  <c r="B13" i="4"/>
  <c r="N13" i="4"/>
  <c r="C13" i="4"/>
  <c r="Z13" i="4"/>
  <c r="J13" i="4"/>
  <c r="Q13" i="4"/>
  <c r="R13" i="4"/>
  <c r="AB13" i="4"/>
  <c r="S13" i="4"/>
  <c r="Y13" i="4"/>
  <c r="K13" i="4"/>
  <c r="F13" i="4"/>
  <c r="X13" i="4"/>
  <c r="E13" i="4"/>
  <c r="M13" i="4"/>
  <c r="AC13" i="4"/>
  <c r="G13" i="4"/>
  <c r="L13" i="4"/>
  <c r="H13" i="4"/>
  <c r="V13" i="4"/>
  <c r="AD13" i="4"/>
  <c r="D13" i="4"/>
  <c r="I13" i="4"/>
  <c r="C21" i="5"/>
  <c r="C24" i="5" s="1"/>
  <c r="C25" i="5" s="1"/>
  <c r="D21" i="5" s="1"/>
  <c r="D24" i="5" s="1"/>
  <c r="D25" i="5" s="1"/>
  <c r="G9" i="4" l="1"/>
  <c r="G11" i="4" s="1"/>
  <c r="C17" i="4"/>
  <c r="D17" i="4"/>
  <c r="E21" i="5"/>
  <c r="E24" i="5" s="1"/>
  <c r="E25" i="5" s="1"/>
  <c r="H9" i="4" l="1"/>
  <c r="H11" i="4" s="1"/>
  <c r="F21" i="5"/>
  <c r="F24" i="5" s="1"/>
  <c r="F25" i="5" s="1"/>
  <c r="E17" i="4"/>
  <c r="I9" i="4" l="1"/>
  <c r="I11" i="4" s="1"/>
  <c r="G21" i="5"/>
  <c r="G24" i="5" s="1"/>
  <c r="G25" i="5" s="1"/>
  <c r="F17" i="4"/>
  <c r="J9" i="4" l="1"/>
  <c r="J11" i="4" s="1"/>
  <c r="G17" i="4"/>
  <c r="H21" i="5"/>
  <c r="H24" i="5" s="1"/>
  <c r="H25" i="5" s="1"/>
  <c r="K9" i="4" l="1"/>
  <c r="K11" i="4" s="1"/>
  <c r="H17" i="4"/>
  <c r="I21" i="5"/>
  <c r="I24" i="5" s="1"/>
  <c r="I25" i="5" s="1"/>
  <c r="L9" i="4" l="1"/>
  <c r="L11" i="4" s="1"/>
  <c r="I17" i="4"/>
  <c r="J21" i="5"/>
  <c r="J24" i="5" s="1"/>
  <c r="J25" i="5" s="1"/>
  <c r="M9" i="4" l="1"/>
  <c r="M11" i="4" s="1"/>
  <c r="J17" i="4"/>
  <c r="K21" i="5"/>
  <c r="K24" i="5" s="1"/>
  <c r="K25" i="5" s="1"/>
  <c r="N9" i="4" l="1"/>
  <c r="N11" i="4" s="1"/>
  <c r="K17" i="4"/>
  <c r="L21" i="5"/>
  <c r="L24" i="5" s="1"/>
  <c r="L25" i="5" s="1"/>
  <c r="O9" i="4" l="1"/>
  <c r="O11" i="4" s="1"/>
  <c r="L17" i="4"/>
  <c r="M21" i="5"/>
  <c r="M24" i="5" s="1"/>
  <c r="M25" i="5" s="1"/>
  <c r="P9" i="4" l="1"/>
  <c r="P11" i="4" s="1"/>
  <c r="N21" i="5"/>
  <c r="N24" i="5" s="1"/>
  <c r="N25" i="5" s="1"/>
  <c r="M17" i="4"/>
  <c r="Q9" i="4" l="1"/>
  <c r="Q11" i="4" s="1"/>
  <c r="O21" i="5"/>
  <c r="O24" i="5" s="1"/>
  <c r="O25" i="5" s="1"/>
  <c r="N17" i="4"/>
  <c r="R9" i="4" l="1"/>
  <c r="R11" i="4" s="1"/>
  <c r="O17" i="4"/>
  <c r="P21" i="5"/>
  <c r="P24" i="5" s="1"/>
  <c r="P25" i="5" s="1"/>
  <c r="S9" i="4" l="1"/>
  <c r="S11" i="4" s="1"/>
  <c r="Q21" i="5"/>
  <c r="Q24" i="5" s="1"/>
  <c r="Q25" i="5" s="1"/>
  <c r="P17" i="4"/>
  <c r="T9" i="4" l="1"/>
  <c r="T11" i="4" s="1"/>
  <c r="Q17" i="4"/>
  <c r="R21" i="5"/>
  <c r="R24" i="5" s="1"/>
  <c r="R25" i="5" s="1"/>
  <c r="U9" i="4" l="1"/>
  <c r="U11" i="4" s="1"/>
  <c r="S21" i="5"/>
  <c r="S24" i="5" s="1"/>
  <c r="S25" i="5" s="1"/>
  <c r="R17" i="4"/>
  <c r="V9" i="4" l="1"/>
  <c r="V11" i="4" s="1"/>
  <c r="V14" i="4" s="1"/>
  <c r="T21" i="5"/>
  <c r="T24" i="5" s="1"/>
  <c r="T25" i="5" s="1"/>
  <c r="S17" i="4"/>
  <c r="V16" i="4" l="1"/>
  <c r="W9" i="4"/>
  <c r="W11" i="4" s="1"/>
  <c r="W16" i="4" s="1"/>
  <c r="U21" i="5"/>
  <c r="U24" i="5" s="1"/>
  <c r="U25" i="5" s="1"/>
  <c r="T17" i="4"/>
  <c r="X9" i="4" l="1"/>
  <c r="X11" i="4" s="1"/>
  <c r="X16" i="4" s="1"/>
  <c r="W14" i="4"/>
  <c r="U17" i="4"/>
  <c r="V21" i="5"/>
  <c r="V24" i="5" s="1"/>
  <c r="V25" i="5" s="1"/>
  <c r="X14" i="4" l="1"/>
  <c r="Y9" i="4"/>
  <c r="Y11" i="4" s="1"/>
  <c r="Y16" i="4" s="1"/>
  <c r="V17" i="4"/>
  <c r="V18" i="4" s="1"/>
  <c r="W21" i="5"/>
  <c r="W24" i="5" s="1"/>
  <c r="W25" i="5" s="1"/>
  <c r="Y14" i="4" l="1"/>
  <c r="Z9" i="4"/>
  <c r="Z11" i="4" s="1"/>
  <c r="Z14" i="4" s="1"/>
  <c r="W17" i="4"/>
  <c r="W18" i="4" s="1"/>
  <c r="X21" i="5"/>
  <c r="X24" i="5" s="1"/>
  <c r="X25" i="5" s="1"/>
  <c r="Z16" i="4" l="1"/>
  <c r="AA9" i="4"/>
  <c r="AA11" i="4" s="1"/>
  <c r="AA16" i="4" s="1"/>
  <c r="X17" i="4"/>
  <c r="X18" i="4" s="1"/>
  <c r="Y21" i="5"/>
  <c r="Y24" i="5" s="1"/>
  <c r="Y25" i="5" s="1"/>
  <c r="AA14" i="4" l="1"/>
  <c r="AB9" i="4"/>
  <c r="AB11" i="4" s="1"/>
  <c r="AB16" i="4" s="1"/>
  <c r="Z21" i="5"/>
  <c r="Z24" i="5" s="1"/>
  <c r="Z25" i="5" s="1"/>
  <c r="Y17" i="4"/>
  <c r="Y18" i="4" s="1"/>
  <c r="AB14" i="4" l="1"/>
  <c r="AC9" i="4"/>
  <c r="AC11" i="4" s="1"/>
  <c r="AC14" i="4" s="1"/>
  <c r="Z17" i="4"/>
  <c r="Z18" i="4" s="1"/>
  <c r="AA21" i="5"/>
  <c r="AA24" i="5" s="1"/>
  <c r="AA25" i="5" s="1"/>
  <c r="AC16" i="4" l="1"/>
  <c r="AD9" i="4"/>
  <c r="AD11" i="4" s="1"/>
  <c r="AD16" i="4" s="1"/>
  <c r="AA17" i="4"/>
  <c r="AA18" i="4" s="1"/>
  <c r="AB21" i="5"/>
  <c r="AB24" i="5" s="1"/>
  <c r="AB25" i="5" s="1"/>
  <c r="AD14" i="4" l="1"/>
  <c r="AE9" i="4"/>
  <c r="AE11" i="4" s="1"/>
  <c r="AE14" i="4" s="1"/>
  <c r="AB17" i="4"/>
  <c r="AB18" i="4" s="1"/>
  <c r="AC21" i="5"/>
  <c r="AC24" i="5" s="1"/>
  <c r="AC25" i="5" s="1"/>
  <c r="AE16" i="4" l="1"/>
  <c r="AC17" i="4"/>
  <c r="AC18" i="4" s="1"/>
  <c r="AD21" i="5"/>
  <c r="AD24" i="5" s="1"/>
  <c r="AD25" i="5" s="1"/>
  <c r="AE21" i="5" l="1"/>
  <c r="AE24" i="5" s="1"/>
  <c r="AE25" i="5" s="1"/>
  <c r="AE17" i="4" s="1"/>
  <c r="AE18" i="4" s="1"/>
  <c r="AD17" i="4"/>
  <c r="AD18" i="4" s="1"/>
  <c r="B35" i="16" l="1"/>
  <c r="E5" i="4" l="1"/>
  <c r="D2" i="20" s="1"/>
  <c r="B18" i="5"/>
  <c r="E6" i="4" s="1"/>
  <c r="C17" i="5"/>
  <c r="B43" i="25" s="1"/>
  <c r="B16" i="4"/>
  <c r="B8" i="4" l="1"/>
  <c r="C18" i="5"/>
  <c r="C16" i="4"/>
  <c r="B14" i="4"/>
  <c r="B18" i="4"/>
  <c r="B19" i="4" l="1"/>
  <c r="C14" i="4"/>
  <c r="C19" i="4" s="1"/>
  <c r="C18" i="4"/>
  <c r="D16" i="4" l="1"/>
  <c r="D14" i="4"/>
  <c r="D19" i="4" s="1"/>
  <c r="E14" i="4" l="1"/>
  <c r="E19" i="4" s="1"/>
  <c r="E16" i="4"/>
  <c r="D18" i="4"/>
  <c r="G16" i="4" l="1"/>
  <c r="E18" i="4"/>
  <c r="F16" i="4"/>
  <c r="F14" i="4"/>
  <c r="F19" i="4" s="1"/>
  <c r="G14" i="4" l="1"/>
  <c r="G19" i="4" s="1"/>
  <c r="G18" i="4"/>
  <c r="F18" i="4"/>
  <c r="H14" i="4" l="1"/>
  <c r="H19" i="4" s="1"/>
  <c r="H16" i="4"/>
  <c r="I14" i="4" l="1"/>
  <c r="I19" i="4" s="1"/>
  <c r="I16" i="4"/>
  <c r="H18" i="4"/>
  <c r="I18" i="4" l="1"/>
  <c r="J14" i="4"/>
  <c r="J19" i="4" s="1"/>
  <c r="J16" i="4"/>
  <c r="J18" i="4" l="1"/>
  <c r="K16" i="4"/>
  <c r="K14" i="4"/>
  <c r="M16" i="4" l="1"/>
  <c r="L16" i="4"/>
  <c r="L14" i="4"/>
  <c r="K18" i="4"/>
  <c r="K19" i="4" s="1"/>
  <c r="E4" i="4" s="1"/>
  <c r="D1" i="20" s="1"/>
  <c r="M14" i="4" l="1"/>
  <c r="N16" i="4"/>
  <c r="L18" i="4"/>
  <c r="M18" i="4"/>
  <c r="O14" i="4" l="1"/>
  <c r="N14" i="4"/>
  <c r="N18" i="4"/>
  <c r="O16" i="4" l="1"/>
  <c r="O18" i="4" s="1"/>
  <c r="P16" i="4" l="1"/>
  <c r="P14" i="4"/>
  <c r="Q14" i="4" l="1"/>
  <c r="Q16" i="4"/>
  <c r="P18" i="4"/>
  <c r="S16" i="4" l="1"/>
  <c r="S14" i="4"/>
  <c r="Q18" i="4"/>
  <c r="R14" i="4"/>
  <c r="R16" i="4"/>
  <c r="R18" i="4" l="1"/>
  <c r="S18" i="4"/>
  <c r="T16" i="4" l="1"/>
  <c r="T14" i="4"/>
  <c r="U16" i="4" l="1"/>
  <c r="U14" i="4"/>
  <c r="T18" i="4"/>
  <c r="U18" i="4" l="1"/>
  <c r="M18" i="11"/>
  <c r="M21" i="11" s="1"/>
  <c r="M23" i="11" s="1"/>
  <c r="C21" i="23" s="1"/>
  <c r="D21" i="23" s="1"/>
  <c r="N18" i="11"/>
  <c r="N21" i="11" s="1"/>
  <c r="N23" i="11" s="1"/>
  <c r="C22" i="23" s="1"/>
  <c r="D22" i="23" s="1"/>
  <c r="O18" i="11"/>
  <c r="O21" i="11" s="1"/>
  <c r="O23" i="11" s="1"/>
  <c r="C23" i="23" s="1"/>
  <c r="D23" i="23" s="1"/>
  <c r="L18" i="11"/>
  <c r="L21" i="11" s="1"/>
  <c r="L23" i="11" s="1"/>
  <c r="C20" i="23" l="1"/>
  <c r="D33" i="23" s="1"/>
  <c r="H11" i="23" l="1"/>
  <c r="H12" i="23" s="1"/>
</calcChain>
</file>

<file path=xl/sharedStrings.xml><?xml version="1.0" encoding="utf-8"?>
<sst xmlns="http://schemas.openxmlformats.org/spreadsheetml/2006/main" count="648" uniqueCount="345">
  <si>
    <t>IRR</t>
  </si>
  <si>
    <t>n/a</t>
  </si>
  <si>
    <t># units</t>
  </si>
  <si>
    <t>Construction type</t>
  </si>
  <si>
    <t>In lieu fee</t>
  </si>
  <si>
    <t>Studio</t>
  </si>
  <si>
    <t>Common area</t>
  </si>
  <si>
    <t>Soft costs</t>
  </si>
  <si>
    <t>Vacancy</t>
  </si>
  <si>
    <t>Interest Rate</t>
  </si>
  <si>
    <t>Term</t>
  </si>
  <si>
    <t>DSCR</t>
  </si>
  <si>
    <t>LTV</t>
  </si>
  <si>
    <t>Cap rate</t>
  </si>
  <si>
    <t>Parking ratio</t>
  </si>
  <si>
    <t># Units</t>
  </si>
  <si>
    <t>1-bdrm</t>
  </si>
  <si>
    <t>2-bdrm</t>
  </si>
  <si>
    <t>3-bdrm</t>
  </si>
  <si>
    <t xml:space="preserve">Total </t>
  </si>
  <si>
    <t>Common Area</t>
  </si>
  <si>
    <t>DEVELOPMENT COSTS</t>
  </si>
  <si>
    <t>Acquisition cost</t>
  </si>
  <si>
    <t>per unit</t>
  </si>
  <si>
    <t>per sqft</t>
  </si>
  <si>
    <t>per space</t>
  </si>
  <si>
    <t>Total construction cost</t>
  </si>
  <si>
    <t>Total soft costs</t>
  </si>
  <si>
    <t>In-lieu fee/fractional fee</t>
  </si>
  <si>
    <t>Total development cost</t>
  </si>
  <si>
    <t>OPERATING</t>
  </si>
  <si>
    <t>Revenue</t>
  </si>
  <si>
    <t>Monthly Rent</t>
  </si>
  <si>
    <t>Annual Income</t>
  </si>
  <si>
    <t>Studio @ Market Rate</t>
  </si>
  <si>
    <t>1-bdrm @ Market Rate</t>
  </si>
  <si>
    <t>2-bdrm @ Market Rate</t>
  </si>
  <si>
    <t>3-bdrm @ Market Rate</t>
  </si>
  <si>
    <t>Studio @ 50% AMI</t>
  </si>
  <si>
    <t>1-bdrm @ 50% AMI</t>
  </si>
  <si>
    <t>2-bdrm @ 50% AMI</t>
  </si>
  <si>
    <t>3-bdrm @ 50% AMI</t>
  </si>
  <si>
    <t>Studio @ 60% AMI</t>
  </si>
  <si>
    <t>1-bdrm @ 60% AMI</t>
  </si>
  <si>
    <t>2-bdrm @ 60% AMI</t>
  </si>
  <si>
    <t>3-bdrm @ 60% AMI</t>
  </si>
  <si>
    <t>Studio @ 80% AMI</t>
  </si>
  <si>
    <t>1-bdrm @ 80% AMI</t>
  </si>
  <si>
    <t>2-bdrm @ 80% AMI</t>
  </si>
  <si>
    <t>3-bdrm @ 80% AMI</t>
  </si>
  <si>
    <t>Studio @ 100% AMI</t>
  </si>
  <si>
    <t>1-bdrm @ 100% AMI</t>
  </si>
  <si>
    <t>2-bdrm @ 100% AMI</t>
  </si>
  <si>
    <t>3-bdrm @ 100% AMI</t>
  </si>
  <si>
    <t>Studio @ 110% AMI</t>
  </si>
  <si>
    <t>1-bdrm @ 110% AMI</t>
  </si>
  <si>
    <t>2-bdrm @ 110% AMI</t>
  </si>
  <si>
    <t>3-bdrm @ 110% AMI</t>
  </si>
  <si>
    <t>Less Vacancy</t>
  </si>
  <si>
    <t>Total Income</t>
  </si>
  <si>
    <t>Expenses</t>
  </si>
  <si>
    <t>Net Operating Income</t>
  </si>
  <si>
    <t>No</t>
  </si>
  <si>
    <t>Threshold</t>
  </si>
  <si>
    <t>units</t>
  </si>
  <si>
    <t>Unit fractions</t>
  </si>
  <si>
    <t>Round up from 0.5</t>
  </si>
  <si>
    <t>Market</t>
  </si>
  <si>
    <t>50% AMI</t>
  </si>
  <si>
    <t>60% AMI</t>
  </si>
  <si>
    <t>80% AMI</t>
  </si>
  <si>
    <t>100% AMI</t>
  </si>
  <si>
    <t>110% AMI</t>
  </si>
  <si>
    <t>Total IZ Units</t>
  </si>
  <si>
    <t>Unit Mix</t>
  </si>
  <si>
    <t>Total</t>
  </si>
  <si>
    <t>Fractional payment</t>
  </si>
  <si>
    <t>Yes</t>
  </si>
  <si>
    <t>Round up any fraction</t>
  </si>
  <si>
    <t>Round down any fraction</t>
  </si>
  <si>
    <t>FY 2023 Income Limit Category</t>
  </si>
  <si>
    <t>Persons in Family</t>
  </si>
  <si>
    <t>30% Area Median Income</t>
  </si>
  <si>
    <t>Mortgage Amount</t>
  </si>
  <si>
    <t>50% Area Median Income</t>
  </si>
  <si>
    <t>60% Area Median Income</t>
  </si>
  <si>
    <t>65% Area Median Income</t>
  </si>
  <si>
    <t>Real Estate Taxes</t>
  </si>
  <si>
    <t>70% Area Median Income</t>
  </si>
  <si>
    <t>Private Mortgage Insurance</t>
  </si>
  <si>
    <t>80% Area Median Income</t>
  </si>
  <si>
    <t>Homeowners Insurance</t>
  </si>
  <si>
    <t>100% Area Median Income</t>
  </si>
  <si>
    <t>Association/Condo Fee</t>
  </si>
  <si>
    <t>110% Area Median Income</t>
  </si>
  <si>
    <t>120% Area Median Income</t>
  </si>
  <si>
    <t>140% Area Median Income</t>
  </si>
  <si>
    <t>Unit type</t>
  </si>
  <si>
    <t>Down Payment</t>
  </si>
  <si>
    <t>Deed-Restricted Sales Price</t>
  </si>
  <si>
    <t>Income</t>
  </si>
  <si>
    <t>Interest rate</t>
  </si>
  <si>
    <t>FINANCING</t>
  </si>
  <si>
    <t>Permanent Loan</t>
  </si>
  <si>
    <t>Debt</t>
  </si>
  <si>
    <t>Equity</t>
  </si>
  <si>
    <t>[Loan constant]</t>
  </si>
  <si>
    <t>NOI</t>
  </si>
  <si>
    <t>Max Loan based on DSCR</t>
  </si>
  <si>
    <t>Max Loan based on LTV</t>
  </si>
  <si>
    <t>Max loan</t>
  </si>
  <si>
    <t>Annual debt service</t>
  </si>
  <si>
    <t>Year</t>
  </si>
  <si>
    <t>Beginning balance</t>
  </si>
  <si>
    <t>Beginning paymnet periods</t>
  </si>
  <si>
    <t>Ending payment periods</t>
  </si>
  <si>
    <t>Ending balance</t>
  </si>
  <si>
    <t>Cap Rate</t>
  </si>
  <si>
    <t>Sale Year</t>
  </si>
  <si>
    <t>Revenue inflation</t>
  </si>
  <si>
    <t>Expenses inflation</t>
  </si>
  <si>
    <t>Equity contributed</t>
  </si>
  <si>
    <t>Debt Service</t>
  </si>
  <si>
    <t>Cash Flow</t>
  </si>
  <si>
    <t>Sales Price</t>
  </si>
  <si>
    <t>Less remaining debt</t>
  </si>
  <si>
    <t>Pre-tax sales proceeds</t>
  </si>
  <si>
    <t>Return to investor</t>
  </si>
  <si>
    <t>Scenario 1</t>
  </si>
  <si>
    <t>Scenario 2</t>
  </si>
  <si>
    <t>Scenario 3</t>
  </si>
  <si>
    <t>Scenario 4</t>
  </si>
  <si>
    <t>DEVELOPMENT PROGRAM</t>
  </si>
  <si>
    <t>Project size</t>
  </si>
  <si>
    <t>SCENARIO 1</t>
  </si>
  <si>
    <t>Units</t>
  </si>
  <si>
    <t>Unit mix</t>
  </si>
  <si>
    <t>One-bedroom</t>
  </si>
  <si>
    <t>Two-bedroom</t>
  </si>
  <si>
    <t>Three-bedroom</t>
  </si>
  <si>
    <t>Unit size</t>
  </si>
  <si>
    <t>spaces per unit</t>
  </si>
  <si>
    <t>square feet</t>
  </si>
  <si>
    <t>Total Area</t>
  </si>
  <si>
    <t>Total parking spaces</t>
  </si>
  <si>
    <t>Surface parking spaces</t>
  </si>
  <si>
    <t>Podium parking spaces</t>
  </si>
  <si>
    <t>Scenario 5</t>
  </si>
  <si>
    <t>Total acquisition cost</t>
  </si>
  <si>
    <t>Const. type</t>
  </si>
  <si>
    <t>Wood frame</t>
  </si>
  <si>
    <t>Podium</t>
  </si>
  <si>
    <t>Midrise</t>
  </si>
  <si>
    <t>Cost per square foot</t>
  </si>
  <si>
    <t>Construction costs</t>
  </si>
  <si>
    <t>Parking costs</t>
  </si>
  <si>
    <t>Surface</t>
  </si>
  <si>
    <t>Surface parking cost per space</t>
  </si>
  <si>
    <t>Podium parking cost per space</t>
  </si>
  <si>
    <t>Total residential area</t>
  </si>
  <si>
    <t>Total residential building area</t>
  </si>
  <si>
    <t>of hard costs</t>
  </si>
  <si>
    <t>Residential construction cost</t>
  </si>
  <si>
    <t>Parking construction cost</t>
  </si>
  <si>
    <t>Parking fee</t>
  </si>
  <si>
    <t>per month</t>
  </si>
  <si>
    <t>Market rents</t>
  </si>
  <si>
    <t>Operating expenses</t>
  </si>
  <si>
    <t>Operating Expenses</t>
  </si>
  <si>
    <t>per unit per year</t>
  </si>
  <si>
    <t>INCLUSIONARY REQUIREMENTS</t>
  </si>
  <si>
    <t>By right in-lieu fee</t>
  </si>
  <si>
    <t>SCENNARIO 1</t>
  </si>
  <si>
    <t>PROFITABILITY</t>
  </si>
  <si>
    <t>Sale year</t>
  </si>
  <si>
    <t>Req. vary by project size</t>
  </si>
  <si>
    <t>Req. vary by tenure</t>
  </si>
  <si>
    <t>Max project size for lower req.</t>
  </si>
  <si>
    <t>Max prjct size for by right in-lieu</t>
  </si>
  <si>
    <t>per aff. unit</t>
  </si>
  <si>
    <t>In-lieu fee/fractional payment</t>
  </si>
  <si>
    <t>of units</t>
  </si>
  <si>
    <t>Affordability requirements: Ownership</t>
  </si>
  <si>
    <t>Req. Mixed Use</t>
  </si>
  <si>
    <t>Per unit</t>
  </si>
  <si>
    <t>% units</t>
  </si>
  <si>
    <t>Round up all fractions</t>
  </si>
  <si>
    <t>Round down all fractions</t>
  </si>
  <si>
    <t>On-site affordable units</t>
  </si>
  <si>
    <t>Req'd affordable units</t>
  </si>
  <si>
    <t>Development costs before in lieu</t>
  </si>
  <si>
    <t>Studio @ 65% AMI</t>
  </si>
  <si>
    <t>1-bdrm @ 65% AMI</t>
  </si>
  <si>
    <t>2-bdrm @ 65% AMI</t>
  </si>
  <si>
    <t>3-bdrm @ 65% AMI</t>
  </si>
  <si>
    <t>Affordable Monthly Rent (Utilities Included)</t>
  </si>
  <si>
    <t>Monthly Principal and Interest</t>
  </si>
  <si>
    <t>Sales price</t>
  </si>
  <si>
    <t>Total Sales Revenue</t>
  </si>
  <si>
    <t>Profit</t>
  </si>
  <si>
    <t>Return on Cost</t>
  </si>
  <si>
    <t>IZ Rental Units</t>
  </si>
  <si>
    <t>IZ Condo Units</t>
  </si>
  <si>
    <t>Internal rate of return (IRR)</t>
  </si>
  <si>
    <t>Return on cost (ROC)</t>
  </si>
  <si>
    <t>Per square foot</t>
  </si>
  <si>
    <t>1 person</t>
  </si>
  <si>
    <t>2 person</t>
  </si>
  <si>
    <t>3 person</t>
  </si>
  <si>
    <t>4 person</t>
  </si>
  <si>
    <t>5 person</t>
  </si>
  <si>
    <t>6 person</t>
  </si>
  <si>
    <t>Household size</t>
  </si>
  <si>
    <t>1 person/ Studio</t>
  </si>
  <si>
    <t>2 person/ One-bdrm</t>
  </si>
  <si>
    <t>3 person/ Two-bdrm</t>
  </si>
  <si>
    <t>4 person/ Three-bdrm</t>
  </si>
  <si>
    <t>RoC</t>
  </si>
  <si>
    <t>Executive Office of Housing and Community Development (EOHLC)</t>
  </si>
  <si>
    <t>Economic Feasibility Analysis - Assumption Checklist</t>
  </si>
  <si>
    <t>The data and assumptions requested in this EFA form will allow EOHLC to evaluate the potential impacts of any Inclusionary Zoning requirements in excess of what is allowed by the MBTA Communities Act. Please complete this form with all available information and provide source references for each data point as they relate to your MBTA 3A Compliant District(s).</t>
  </si>
  <si>
    <t>Revenue Sources</t>
  </si>
  <si>
    <t>Input</t>
  </si>
  <si>
    <t>Source</t>
  </si>
  <si>
    <t>Rents by Bed Count (per SQFT)</t>
  </si>
  <si>
    <t>Studio/Efficiency</t>
  </si>
  <si>
    <t>One Bedroom</t>
  </si>
  <si>
    <t>Two Bedroom</t>
  </si>
  <si>
    <t>Three Bedroom</t>
  </si>
  <si>
    <t>Sale Value (per SQFT)</t>
  </si>
  <si>
    <t>Other Income</t>
  </si>
  <si>
    <t>Parking Revenue (per month per space)</t>
  </si>
  <si>
    <t>On-Site Laundry (per month)</t>
  </si>
  <si>
    <t>Other (please list)</t>
  </si>
  <si>
    <t>Construction Costs</t>
  </si>
  <si>
    <t>Land Acquisition (per unit)</t>
  </si>
  <si>
    <t>Land Development Costs (per unit)</t>
  </si>
  <si>
    <t>Soft Costs (percentage of hard costs)</t>
  </si>
  <si>
    <t>Hard Costs (per SQFT)</t>
  </si>
  <si>
    <t>Residential</t>
  </si>
  <si>
    <t>Commercial Stick Built</t>
  </si>
  <si>
    <t>Commercial Podium</t>
  </si>
  <si>
    <t>Commercial Steel</t>
  </si>
  <si>
    <t>Parking Assumptions</t>
  </si>
  <si>
    <t>Parking Ratio</t>
  </si>
  <si>
    <t>Parking Cost by Type</t>
  </si>
  <si>
    <t>Surface (per space)</t>
  </si>
  <si>
    <t>Structured (per space)</t>
  </si>
  <si>
    <t>Underground (per space)</t>
  </si>
  <si>
    <t>Operations &amp; Expenses</t>
  </si>
  <si>
    <t>Vacancy (percentage)</t>
  </si>
  <si>
    <t>Collection Loss (percentage)</t>
  </si>
  <si>
    <t>Operating Expense (% of EGI)</t>
  </si>
  <si>
    <t>Financial</t>
  </si>
  <si>
    <t>Lending Rate (Percentage)</t>
  </si>
  <si>
    <t>Lending Term (Years)</t>
  </si>
  <si>
    <t>Debt Equity Ratio</t>
  </si>
  <si>
    <t>Return Expectations</t>
  </si>
  <si>
    <t>Internal Rate of Return (IRR)</t>
  </si>
  <si>
    <t>Return on Cost (ROC)</t>
  </si>
  <si>
    <t>Cash on Cash (CoC)</t>
  </si>
  <si>
    <t>Sale value per sqft</t>
  </si>
  <si>
    <t>One bedroom</t>
  </si>
  <si>
    <t>Two bedroom</t>
  </si>
  <si>
    <t>Three bedroom</t>
  </si>
  <si>
    <t>Included in construction costs</t>
  </si>
  <si>
    <t>Underground</t>
  </si>
  <si>
    <t>Zoning bylaw, recent development projects</t>
  </si>
  <si>
    <t>City assessor data, developer interviews</t>
  </si>
  <si>
    <t>RS Means, developer interviews</t>
  </si>
  <si>
    <t>Developer and lender interviews</t>
  </si>
  <si>
    <t>Developer interviews</t>
  </si>
  <si>
    <t>Zillow, CoStar, MAPC Rental Listings Database, developer interviews, review of recent properties on market</t>
  </si>
  <si>
    <t>CoStar, assessor data</t>
  </si>
  <si>
    <t>Construction</t>
  </si>
  <si>
    <t>In lieu fee amount</t>
  </si>
  <si>
    <t>Fractional pmt amount</t>
  </si>
  <si>
    <t>Req'd aff units</t>
  </si>
  <si>
    <t>total</t>
  </si>
  <si>
    <t>Large project affordability requirements: Rental</t>
  </si>
  <si>
    <t>Large project affordability requirements: Ownership</t>
  </si>
  <si>
    <t>Parking</t>
  </si>
  <si>
    <t>Parking type</t>
  </si>
  <si>
    <t>Underground parking spaces</t>
  </si>
  <si>
    <t>Mix surface/podium</t>
  </si>
  <si>
    <t>Underground parking cost per space</t>
  </si>
  <si>
    <t>Carrying period interest</t>
  </si>
  <si>
    <t>Carrying period</t>
  </si>
  <si>
    <t>months</t>
  </si>
  <si>
    <t>Const. financing rate</t>
  </si>
  <si>
    <t>TDC/2 = approximation that construction draws will occur evenly across construstion period and sales will occur evenly over sales period</t>
  </si>
  <si>
    <t>Scenario</t>
  </si>
  <si>
    <t>Inclusionary policy feasible under 3A zoning</t>
  </si>
  <si>
    <t>YES</t>
  </si>
  <si>
    <t>$750-$900 depending on unit type</t>
  </si>
  <si>
    <t>Municipal FY23 residential tax rate</t>
  </si>
  <si>
    <t>In lieu calculation</t>
  </si>
  <si>
    <t>Linkage fee</t>
  </si>
  <si>
    <t>Amount</t>
  </si>
  <si>
    <t>Affordability requirements:</t>
  </si>
  <si>
    <t>Rental</t>
  </si>
  <si>
    <t>Const. interest rate</t>
  </si>
  <si>
    <t xml:space="preserve">OWNERSHIP </t>
  </si>
  <si>
    <t>Small projects</t>
  </si>
  <si>
    <t>Medium projects</t>
  </si>
  <si>
    <t>Large projects</t>
  </si>
  <si>
    <t>Scale with project size</t>
  </si>
  <si>
    <t>If scaling inputs with project size</t>
  </si>
  <si>
    <t>or fewer units</t>
  </si>
  <si>
    <t>or more units</t>
  </si>
  <si>
    <t>Small projects =</t>
  </si>
  <si>
    <t>Large projects =</t>
  </si>
  <si>
    <t>DEVELOPMENT SCENARIOS</t>
  </si>
  <si>
    <t>https://www.freddiemac.com/pmms</t>
  </si>
  <si>
    <t>30 year prime mortgage average rate</t>
  </si>
  <si>
    <t>As of</t>
  </si>
  <si>
    <t>Different for covered/uncovered</t>
  </si>
  <si>
    <t>Uncovered parking fee</t>
  </si>
  <si>
    <t>Covered parking fee</t>
  </si>
  <si>
    <t>Parking income - podium/underground</t>
  </si>
  <si>
    <t>Parking income - surface</t>
  </si>
  <si>
    <t>Surface Parking Fee per month</t>
  </si>
  <si>
    <t>Podium Parking Fee per month</t>
  </si>
  <si>
    <t>Total commercial building area</t>
  </si>
  <si>
    <t>Total commercial area</t>
  </si>
  <si>
    <t>Commercial construction cost</t>
  </si>
  <si>
    <t>Comm. Area</t>
  </si>
  <si>
    <t>Commercial</t>
  </si>
  <si>
    <t>Commercial vacancy</t>
  </si>
  <si>
    <t>Residential Income</t>
  </si>
  <si>
    <t>Commercial Income</t>
  </si>
  <si>
    <t>Residential Vacancy</t>
  </si>
  <si>
    <t xml:space="preserve">TDC </t>
  </si>
  <si>
    <t>Round up from 0.5, fraction for less than 0.5</t>
  </si>
  <si>
    <t>65% AMI</t>
  </si>
  <si>
    <t>Scale with commercial sqft</t>
  </si>
  <si>
    <t>Commercial rent &lt;5,000 sqft</t>
  </si>
  <si>
    <t>Commercial rent &gt;5,000 sqft</t>
  </si>
  <si>
    <t>Commercial rents</t>
  </si>
  <si>
    <t>80% AMI annual household income</t>
  </si>
  <si>
    <t xml:space="preserve">70% AMI “window of opportunity” </t>
  </si>
  <si>
    <t>Monthly income available for housing</t>
  </si>
  <si>
    <t>110% AMI annual household income</t>
  </si>
  <si>
    <t xml:space="preserve">100% AMI “window of opportunity” </t>
  </si>
  <si>
    <t>per sqft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</si>
</sst>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
    <numFmt numFmtId="168" formatCode="0.0%"/>
    <numFmt numFmtId="169" formatCode="_(&quot;$&quot;* #,##0_);_(&quot;$&quot;* \(#,##0\);_(&quot;$&quot;* &quot;-&quot;?_);_(@_)"/>
    <numFmt numFmtId="170" formatCode="&quot;$&quot;#,##0"/>
    <numFmt numFmtId="171" formatCode="&quot;$&quot;#,##0.00"/>
    <numFmt numFmtId="172" formatCode="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0" tint="-0.34998626667073579"/>
      <name val="Calibri"/>
      <family val="2"/>
      <scheme val="minor"/>
    </font>
    <font>
      <sz val="11"/>
      <color rgb="FF009999"/>
      <name val="Calibri"/>
      <family val="2"/>
      <scheme val="minor"/>
    </font>
    <font>
      <b/>
      <sz val="11"/>
      <color rgb="FF009999"/>
      <name val="Calibri"/>
      <family val="2"/>
      <scheme val="minor"/>
    </font>
    <font>
      <u/>
      <sz val="11"/>
      <color theme="10"/>
      <name val="Calibri"/>
      <family val="2"/>
      <scheme val="minor"/>
    </font>
    <font>
      <b/>
      <sz val="11"/>
      <name val="Calibri"/>
      <family val="2"/>
      <scheme val="minor"/>
    </font>
    <font>
      <sz val="11"/>
      <color theme="2" tint="-9.9978637043366805E-2"/>
      <name val="Calibri"/>
      <family val="2"/>
      <scheme val="minor"/>
    </font>
    <font>
      <sz val="11"/>
      <color rgb="FFCC0000"/>
      <name val="Calibri"/>
      <family val="2"/>
      <scheme val="minor"/>
    </font>
    <font>
      <b/>
      <sz val="12"/>
      <color theme="1"/>
      <name val="Roboto"/>
    </font>
    <font>
      <sz val="11"/>
      <color theme="1"/>
      <name val="Roboto"/>
    </font>
    <font>
      <b/>
      <i/>
      <sz val="10"/>
      <color theme="1"/>
      <name val="Roboto"/>
    </font>
    <font>
      <sz val="10"/>
      <color theme="1"/>
      <name val="Roboto"/>
    </font>
    <font>
      <b/>
      <sz val="11"/>
      <color theme="1"/>
      <name val="Roboto"/>
    </font>
    <font>
      <sz val="11"/>
      <color theme="2"/>
      <name val="Calibri"/>
      <family val="2"/>
      <scheme val="minor"/>
    </font>
    <font>
      <sz val="11"/>
      <color theme="1"/>
      <name val="Tw Cen MT"/>
      <family val="2"/>
    </font>
    <font>
      <b/>
      <sz val="11"/>
      <color theme="1"/>
      <name val="Tw Cen MT"/>
      <family val="2"/>
    </font>
    <font>
      <sz val="11"/>
      <name val="Tw Cen MT"/>
      <family val="2"/>
    </font>
    <font>
      <b/>
      <sz val="11"/>
      <color theme="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212">
    <xf numFmtId="0" fontId="0" fillId="0" borderId="0" xfId="0"/>
    <xf numFmtId="0" fontId="3" fillId="0" borderId="0" xfId="0" applyFont="1"/>
    <xf numFmtId="164" fontId="3" fillId="0" borderId="0" xfId="1" applyNumberFormat="1" applyFont="1" applyFill="1" applyBorder="1"/>
    <xf numFmtId="166" fontId="3" fillId="0" borderId="0" xfId="0" applyNumberFormat="1" applyFont="1"/>
    <xf numFmtId="166" fontId="3" fillId="0" borderId="0" xfId="2" applyNumberFormat="1" applyFont="1" applyFill="1" applyBorder="1"/>
    <xf numFmtId="9" fontId="3" fillId="0" borderId="0" xfId="3" applyFont="1" applyFill="1" applyBorder="1"/>
    <xf numFmtId="0" fontId="5" fillId="0" borderId="0" xfId="0" applyFont="1"/>
    <xf numFmtId="3" fontId="5" fillId="0" borderId="0" xfId="0" applyNumberFormat="1" applyFont="1"/>
    <xf numFmtId="166" fontId="5" fillId="0" borderId="0" xfId="2" applyNumberFormat="1" applyFont="1" applyBorder="1"/>
    <xf numFmtId="166" fontId="5" fillId="0" borderId="0" xfId="0" applyNumberFormat="1" applyFont="1"/>
    <xf numFmtId="9" fontId="5" fillId="0" borderId="0" xfId="3" applyFont="1" applyBorder="1"/>
    <xf numFmtId="9" fontId="5" fillId="0" borderId="0" xfId="0" applyNumberFormat="1" applyFont="1"/>
    <xf numFmtId="9" fontId="5" fillId="0" borderId="0" xfId="3" applyFont="1" applyFill="1" applyBorder="1"/>
    <xf numFmtId="0" fontId="6" fillId="0" borderId="0" xfId="0" applyFont="1"/>
    <xf numFmtId="164" fontId="5" fillId="0" borderId="0" xfId="1" applyNumberFormat="1" applyFont="1" applyFill="1" applyBorder="1"/>
    <xf numFmtId="166" fontId="5" fillId="0" borderId="0" xfId="2" applyNumberFormat="1" applyFont="1" applyFill="1" applyBorder="1"/>
    <xf numFmtId="170" fontId="5" fillId="0" borderId="0" xfId="2" applyNumberFormat="1" applyFont="1" applyFill="1" applyBorder="1"/>
    <xf numFmtId="0" fontId="7" fillId="0" borderId="0" xfId="4"/>
    <xf numFmtId="0" fontId="3" fillId="0" borderId="2" xfId="0" applyFont="1" applyBorder="1"/>
    <xf numFmtId="0" fontId="3" fillId="0" borderId="1" xfId="0" applyFont="1" applyBorder="1"/>
    <xf numFmtId="0" fontId="8" fillId="0" borderId="1" xfId="0" applyFont="1" applyBorder="1"/>
    <xf numFmtId="0" fontId="8" fillId="0" borderId="0" xfId="0" applyFont="1"/>
    <xf numFmtId="170" fontId="3" fillId="0" borderId="0" xfId="0" applyNumberFormat="1" applyFont="1"/>
    <xf numFmtId="170" fontId="3" fillId="0" borderId="2" xfId="0" applyNumberFormat="1" applyFont="1" applyBorder="1"/>
    <xf numFmtId="170" fontId="3" fillId="0" borderId="1" xfId="0" applyNumberFormat="1" applyFont="1" applyBorder="1"/>
    <xf numFmtId="168" fontId="3" fillId="0" borderId="0" xfId="0" applyNumberFormat="1" applyFont="1"/>
    <xf numFmtId="168" fontId="3" fillId="0" borderId="0" xfId="3" applyNumberFormat="1" applyFont="1" applyFill="1" applyBorder="1"/>
    <xf numFmtId="170" fontId="3" fillId="0" borderId="0" xfId="2" applyNumberFormat="1" applyFont="1" applyBorder="1"/>
    <xf numFmtId="0" fontId="9" fillId="0" borderId="0" xfId="0" applyFont="1"/>
    <xf numFmtId="0" fontId="0" fillId="2" borderId="0" xfId="0" applyFill="1"/>
    <xf numFmtId="8" fontId="3" fillId="0" borderId="0" xfId="0" applyNumberFormat="1" applyFont="1"/>
    <xf numFmtId="8" fontId="5" fillId="0" borderId="0" xfId="3" applyNumberFormat="1" applyFont="1" applyBorder="1"/>
    <xf numFmtId="0" fontId="10" fillId="0" borderId="0" xfId="0" applyFont="1"/>
    <xf numFmtId="8" fontId="10" fillId="0" borderId="0" xfId="0" applyNumberFormat="1" applyFont="1"/>
    <xf numFmtId="9" fontId="3" fillId="0" borderId="0" xfId="3" applyFont="1"/>
    <xf numFmtId="172" fontId="3" fillId="0" borderId="0" xfId="3" applyNumberFormat="1" applyFont="1"/>
    <xf numFmtId="171" fontId="3" fillId="0" borderId="0" xfId="0" applyNumberFormat="1" applyFont="1"/>
    <xf numFmtId="6" fontId="3" fillId="0" borderId="0" xfId="0" applyNumberFormat="1" applyFont="1"/>
    <xf numFmtId="0" fontId="0" fillId="0" borderId="1" xfId="0" applyBorder="1"/>
    <xf numFmtId="0" fontId="3" fillId="0" borderId="3" xfId="0" applyFont="1" applyBorder="1"/>
    <xf numFmtId="0" fontId="3" fillId="0" borderId="5" xfId="0" applyFont="1" applyBorder="1"/>
    <xf numFmtId="164" fontId="3" fillId="0" borderId="0" xfId="1" applyNumberFormat="1" applyFont="1" applyBorder="1"/>
    <xf numFmtId="167" fontId="3" fillId="0" borderId="0" xfId="0" applyNumberFormat="1" applyFont="1"/>
    <xf numFmtId="164" fontId="5" fillId="0" borderId="0" xfId="0" applyNumberFormat="1" applyFont="1"/>
    <xf numFmtId="164" fontId="3" fillId="0" borderId="0" xfId="0" applyNumberFormat="1" applyFont="1"/>
    <xf numFmtId="164" fontId="8" fillId="0" borderId="0" xfId="0" applyNumberFormat="1" applyFont="1"/>
    <xf numFmtId="9" fontId="3" fillId="0" borderId="0" xfId="3" applyFont="1" applyFill="1"/>
    <xf numFmtId="165" fontId="8" fillId="0" borderId="0" xfId="0" applyNumberFormat="1" applyFont="1"/>
    <xf numFmtId="2" fontId="3" fillId="0" borderId="0" xfId="0" applyNumberFormat="1" applyFont="1"/>
    <xf numFmtId="43" fontId="3" fillId="0" borderId="0" xfId="1" applyFont="1" applyFill="1" applyBorder="1"/>
    <xf numFmtId="165" fontId="3" fillId="0" borderId="0" xfId="0" applyNumberFormat="1" applyFont="1"/>
    <xf numFmtId="0" fontId="3" fillId="0" borderId="7" xfId="0" applyFont="1" applyBorder="1"/>
    <xf numFmtId="166" fontId="8" fillId="0" borderId="0" xfId="0" applyNumberFormat="1" applyFont="1"/>
    <xf numFmtId="43" fontId="3" fillId="0" borderId="0" xfId="0" applyNumberFormat="1" applyFont="1"/>
    <xf numFmtId="170" fontId="8" fillId="0" borderId="0" xfId="0" applyNumberFormat="1" applyFont="1"/>
    <xf numFmtId="164" fontId="3" fillId="0" borderId="0" xfId="1" applyNumberFormat="1" applyFont="1"/>
    <xf numFmtId="170" fontId="3" fillId="0" borderId="0" xfId="2" applyNumberFormat="1" applyFont="1" applyFill="1" applyBorder="1"/>
    <xf numFmtId="44" fontId="3" fillId="0" borderId="0" xfId="0" applyNumberFormat="1" applyFont="1"/>
    <xf numFmtId="170" fontId="8" fillId="0" borderId="0" xfId="2" applyNumberFormat="1" applyFont="1" applyFill="1" applyBorder="1"/>
    <xf numFmtId="0" fontId="3" fillId="0" borderId="0" xfId="2" applyNumberFormat="1" applyFont="1" applyFill="1" applyBorder="1"/>
    <xf numFmtId="170" fontId="8" fillId="0" borderId="0" xfId="2" applyNumberFormat="1" applyFont="1" applyBorder="1"/>
    <xf numFmtId="9" fontId="3" fillId="0" borderId="0" xfId="0" applyNumberFormat="1" applyFont="1"/>
    <xf numFmtId="170" fontId="8" fillId="0" borderId="0" xfId="3" applyNumberFormat="1" applyFont="1" applyBorder="1"/>
    <xf numFmtId="44" fontId="3" fillId="0" borderId="0" xfId="2" applyFont="1" applyFill="1" applyBorder="1"/>
    <xf numFmtId="171" fontId="3" fillId="0" borderId="0" xfId="2" applyNumberFormat="1" applyFont="1" applyFill="1" applyBorder="1"/>
    <xf numFmtId="166" fontId="3" fillId="0" borderId="0" xfId="2" applyNumberFormat="1" applyFont="1" applyBorder="1"/>
    <xf numFmtId="0" fontId="3" fillId="2" borderId="0" xfId="0" applyFont="1" applyFill="1"/>
    <xf numFmtId="1" fontId="3" fillId="0" borderId="0" xfId="0" applyNumberFormat="1" applyFont="1"/>
    <xf numFmtId="1" fontId="9" fillId="0" borderId="0" xfId="0" applyNumberFormat="1" applyFont="1"/>
    <xf numFmtId="1" fontId="6" fillId="0" borderId="0" xfId="0" applyNumberFormat="1" applyFont="1"/>
    <xf numFmtId="167" fontId="5" fillId="0" borderId="0" xfId="0" applyNumberFormat="1" applyFont="1"/>
    <xf numFmtId="10" fontId="5" fillId="0" borderId="0" xfId="0" applyNumberFormat="1" applyFont="1"/>
    <xf numFmtId="170" fontId="5" fillId="0" borderId="0" xfId="0" applyNumberFormat="1" applyFont="1"/>
    <xf numFmtId="0" fontId="5" fillId="0" borderId="0" xfId="0" applyFont="1" applyAlignment="1">
      <alignment horizontal="left"/>
    </xf>
    <xf numFmtId="43" fontId="5" fillId="0" borderId="0" xfId="0" applyNumberFormat="1" applyFont="1"/>
    <xf numFmtId="0" fontId="3" fillId="0" borderId="0" xfId="0" applyFont="1" applyAlignment="1">
      <alignment horizontal="left"/>
    </xf>
    <xf numFmtId="166" fontId="4" fillId="0" borderId="0" xfId="0" applyNumberFormat="1" applyFont="1"/>
    <xf numFmtId="170" fontId="3" fillId="0" borderId="0" xfId="2" applyNumberFormat="1" applyFont="1"/>
    <xf numFmtId="5" fontId="3" fillId="0" borderId="0" xfId="0" applyNumberFormat="1" applyFont="1"/>
    <xf numFmtId="10" fontId="3" fillId="0" borderId="0" xfId="3" applyNumberFormat="1" applyFont="1" applyBorder="1"/>
    <xf numFmtId="169" fontId="3" fillId="0" borderId="0" xfId="0" applyNumberFormat="1" applyFont="1"/>
    <xf numFmtId="10" fontId="3" fillId="0" borderId="0" xfId="3" applyNumberFormat="1" applyFont="1" applyFill="1" applyBorder="1"/>
    <xf numFmtId="1" fontId="3" fillId="0" borderId="0" xfId="3" applyNumberFormat="1" applyFont="1" applyFill="1" applyBorder="1"/>
    <xf numFmtId="2" fontId="3" fillId="0" borderId="0" xfId="3" applyNumberFormat="1" applyFont="1" applyFill="1" applyBorder="1"/>
    <xf numFmtId="5" fontId="3" fillId="0" borderId="0" xfId="2" applyNumberFormat="1" applyFont="1"/>
    <xf numFmtId="168" fontId="3" fillId="0" borderId="0" xfId="3" applyNumberFormat="1" applyFont="1"/>
    <xf numFmtId="0" fontId="2" fillId="0" borderId="8" xfId="0" applyFont="1" applyBorder="1"/>
    <xf numFmtId="0" fontId="0" fillId="0" borderId="2" xfId="0" applyBorder="1"/>
    <xf numFmtId="0" fontId="0" fillId="0" borderId="9" xfId="0" applyBorder="1"/>
    <xf numFmtId="0" fontId="0" fillId="0" borderId="3" xfId="0" applyBorder="1"/>
    <xf numFmtId="0" fontId="0" fillId="0" borderId="4" xfId="0" applyBorder="1"/>
    <xf numFmtId="0" fontId="2" fillId="0" borderId="3" xfId="0" applyFont="1" applyBorder="1"/>
    <xf numFmtId="9" fontId="0" fillId="2" borderId="0" xfId="3" applyFont="1" applyFill="1" applyBorder="1"/>
    <xf numFmtId="0" fontId="0" fillId="0" borderId="5" xfId="0" applyBorder="1"/>
    <xf numFmtId="9" fontId="0" fillId="0" borderId="1" xfId="0" applyNumberFormat="1" applyBorder="1"/>
    <xf numFmtId="0" fontId="0" fillId="0" borderId="6" xfId="0" applyBorder="1"/>
    <xf numFmtId="168" fontId="0" fillId="2" borderId="0" xfId="3" applyNumberFormat="1" applyFont="1" applyFill="1" applyBorder="1"/>
    <xf numFmtId="0" fontId="0" fillId="2" borderId="1" xfId="0" applyFill="1" applyBorder="1"/>
    <xf numFmtId="170" fontId="0" fillId="2" borderId="0" xfId="0" applyNumberFormat="1" applyFill="1"/>
    <xf numFmtId="170" fontId="0" fillId="0" borderId="0" xfId="0" applyNumberFormat="1"/>
    <xf numFmtId="9" fontId="3" fillId="0" borderId="0" xfId="3" applyFont="1" applyBorder="1"/>
    <xf numFmtId="9" fontId="9" fillId="0" borderId="0" xfId="3" applyFont="1" applyBorder="1"/>
    <xf numFmtId="9" fontId="8" fillId="0" borderId="0" xfId="0" applyNumberFormat="1" applyFont="1"/>
    <xf numFmtId="1" fontId="8" fillId="0" borderId="0" xfId="0" applyNumberFormat="1" applyFont="1"/>
    <xf numFmtId="170" fontId="3" fillId="0" borderId="0" xfId="0" applyNumberFormat="1" applyFont="1" applyAlignment="1">
      <alignment horizontal="left"/>
    </xf>
    <xf numFmtId="1" fontId="3" fillId="0" borderId="0" xfId="0" applyNumberFormat="1" applyFont="1" applyAlignment="1">
      <alignment horizontal="left"/>
    </xf>
    <xf numFmtId="5" fontId="3" fillId="0" borderId="0" xfId="2" applyNumberFormat="1" applyFont="1" applyFill="1" applyBorder="1"/>
    <xf numFmtId="10" fontId="3" fillId="0" borderId="0" xfId="3" applyNumberFormat="1" applyFont="1" applyFill="1"/>
    <xf numFmtId="8" fontId="3" fillId="2" borderId="0" xfId="0" applyNumberFormat="1" applyFont="1" applyFill="1"/>
    <xf numFmtId="170" fontId="8" fillId="0" borderId="0" xfId="0" applyNumberFormat="1" applyFont="1" applyAlignment="1">
      <alignment horizontal="left"/>
    </xf>
    <xf numFmtId="170" fontId="8" fillId="0" borderId="0" xfId="2" applyNumberFormat="1" applyFont="1"/>
    <xf numFmtId="0" fontId="8" fillId="0" borderId="1" xfId="0" applyFont="1" applyBorder="1" applyAlignment="1">
      <alignment horizontal="center" wrapText="1"/>
    </xf>
    <xf numFmtId="0" fontId="8" fillId="0" borderId="1" xfId="0" applyFont="1" applyBorder="1" applyAlignment="1">
      <alignment horizontal="center"/>
    </xf>
    <xf numFmtId="8" fontId="7" fillId="0" borderId="0" xfId="4" applyNumberFormat="1"/>
    <xf numFmtId="168" fontId="0" fillId="3" borderId="0" xfId="3" applyNumberFormat="1" applyFont="1" applyFill="1"/>
    <xf numFmtId="0" fontId="0" fillId="3" borderId="0" xfId="0" applyFill="1"/>
    <xf numFmtId="0" fontId="11" fillId="4" borderId="0" xfId="0" applyFont="1" applyFill="1"/>
    <xf numFmtId="0" fontId="12" fillId="4" borderId="0" xfId="0" applyFont="1" applyFill="1"/>
    <xf numFmtId="0" fontId="13" fillId="4" borderId="7" xfId="0" applyFont="1" applyFill="1" applyBorder="1"/>
    <xf numFmtId="0" fontId="12" fillId="4" borderId="7" xfId="0" applyFont="1" applyFill="1" applyBorder="1"/>
    <xf numFmtId="0" fontId="15" fillId="5" borderId="0" xfId="0" applyFont="1" applyFill="1"/>
    <xf numFmtId="0" fontId="15" fillId="5" borderId="0" xfId="0" applyFont="1" applyFill="1" applyAlignment="1">
      <alignment horizontal="center"/>
    </xf>
    <xf numFmtId="0" fontId="14" fillId="4" borderId="0" xfId="0" applyFont="1" applyFill="1" applyAlignment="1">
      <alignment horizontal="left" indent="1"/>
    </xf>
    <xf numFmtId="171" fontId="12" fillId="4" borderId="10" xfId="0" applyNumberFormat="1" applyFont="1" applyFill="1" applyBorder="1"/>
    <xf numFmtId="0" fontId="12" fillId="4" borderId="10" xfId="0" applyFont="1" applyFill="1" applyBorder="1"/>
    <xf numFmtId="170" fontId="12" fillId="4" borderId="10" xfId="0" applyNumberFormat="1" applyFont="1" applyFill="1" applyBorder="1"/>
    <xf numFmtId="168" fontId="12" fillId="4" borderId="10" xfId="0" applyNumberFormat="1" applyFont="1" applyFill="1" applyBorder="1"/>
    <xf numFmtId="0" fontId="12" fillId="4" borderId="0" xfId="0" applyFont="1" applyFill="1" applyAlignment="1">
      <alignment horizontal="left" indent="1"/>
    </xf>
    <xf numFmtId="0" fontId="14" fillId="4" borderId="0" xfId="0" applyFont="1" applyFill="1" applyAlignment="1">
      <alignment horizontal="left" indent="2"/>
    </xf>
    <xf numFmtId="2" fontId="12" fillId="4" borderId="10" xfId="0" applyNumberFormat="1" applyFont="1" applyFill="1" applyBorder="1"/>
    <xf numFmtId="0" fontId="14" fillId="4" borderId="0" xfId="0" applyFont="1" applyFill="1" applyAlignment="1">
      <alignment horizontal="left" indent="3"/>
    </xf>
    <xf numFmtId="0" fontId="12" fillId="4" borderId="0" xfId="0" applyFont="1" applyFill="1" applyAlignment="1">
      <alignment horizontal="left" indent="3"/>
    </xf>
    <xf numFmtId="0" fontId="15" fillId="5" borderId="0" xfId="0" applyFont="1" applyFill="1" applyAlignment="1">
      <alignment horizontal="left"/>
    </xf>
    <xf numFmtId="0" fontId="12" fillId="4" borderId="0" xfId="0" applyFont="1" applyFill="1" applyAlignment="1">
      <alignment horizontal="left"/>
    </xf>
    <xf numFmtId="10" fontId="12" fillId="4" borderId="10" xfId="0" applyNumberFormat="1" applyFont="1" applyFill="1" applyBorder="1"/>
    <xf numFmtId="0" fontId="12" fillId="4" borderId="12" xfId="0" applyFont="1" applyFill="1" applyBorder="1"/>
    <xf numFmtId="0" fontId="12" fillId="4" borderId="0" xfId="0" applyFont="1" applyFill="1" applyAlignment="1">
      <alignment horizontal="left" indent="2"/>
    </xf>
    <xf numFmtId="9" fontId="12" fillId="4" borderId="10" xfId="0" applyNumberFormat="1" applyFont="1" applyFill="1" applyBorder="1"/>
    <xf numFmtId="1" fontId="12" fillId="4" borderId="10" xfId="0" applyNumberFormat="1" applyFont="1" applyFill="1" applyBorder="1"/>
    <xf numFmtId="9" fontId="0" fillId="0" borderId="0" xfId="3" applyFont="1" applyFill="1" applyBorder="1"/>
    <xf numFmtId="0" fontId="8" fillId="0" borderId="7" xfId="0" applyFont="1" applyBorder="1"/>
    <xf numFmtId="1" fontId="8" fillId="0" borderId="7" xfId="0" applyNumberFormat="1" applyFont="1" applyBorder="1"/>
    <xf numFmtId="167" fontId="5" fillId="0" borderId="7" xfId="0" applyNumberFormat="1" applyFont="1" applyBorder="1"/>
    <xf numFmtId="0" fontId="5" fillId="0" borderId="7" xfId="0" applyFont="1" applyBorder="1"/>
    <xf numFmtId="9" fontId="9" fillId="0" borderId="7" xfId="3" applyFont="1" applyBorder="1"/>
    <xf numFmtId="170" fontId="0" fillId="2" borderId="0" xfId="2" applyNumberFormat="1" applyFont="1" applyFill="1" applyBorder="1"/>
    <xf numFmtId="168" fontId="8" fillId="0" borderId="0" xfId="0" applyNumberFormat="1" applyFont="1"/>
    <xf numFmtId="168" fontId="8" fillId="0" borderId="0" xfId="3" applyNumberFormat="1" applyFont="1" applyFill="1"/>
    <xf numFmtId="9" fontId="0" fillId="2" borderId="0" xfId="0" applyNumberFormat="1" applyFill="1"/>
    <xf numFmtId="168" fontId="0" fillId="3" borderId="0" xfId="0" applyNumberFormat="1" applyFill="1"/>
    <xf numFmtId="10" fontId="0" fillId="2" borderId="0" xfId="3" applyNumberFormat="1" applyFont="1" applyFill="1" applyBorder="1"/>
    <xf numFmtId="170" fontId="3" fillId="2" borderId="0" xfId="0" applyNumberFormat="1" applyFont="1" applyFill="1"/>
    <xf numFmtId="0" fontId="3" fillId="0" borderId="0" xfId="0" applyFont="1" applyAlignment="1">
      <alignment horizontal="center" vertical="center" wrapText="1"/>
    </xf>
    <xf numFmtId="0" fontId="8" fillId="0" borderId="0" xfId="0" applyFont="1" applyAlignment="1">
      <alignment horizontal="center"/>
    </xf>
    <xf numFmtId="0" fontId="16" fillId="0" borderId="0" xfId="0" applyFont="1"/>
    <xf numFmtId="0" fontId="0" fillId="0" borderId="15" xfId="0" applyBorder="1"/>
    <xf numFmtId="0" fontId="3" fillId="2" borderId="16" xfId="0" applyFont="1" applyFill="1" applyBorder="1"/>
    <xf numFmtId="0" fontId="0" fillId="2" borderId="16" xfId="0" applyFill="1" applyBorder="1"/>
    <xf numFmtId="0" fontId="2" fillId="0" borderId="0" xfId="0" applyFont="1"/>
    <xf numFmtId="170" fontId="2" fillId="0" borderId="0" xfId="0" applyNumberFormat="1" applyFont="1"/>
    <xf numFmtId="0" fontId="8" fillId="3" borderId="0" xfId="0" applyFont="1" applyFill="1"/>
    <xf numFmtId="168" fontId="2" fillId="3" borderId="0" xfId="3" applyNumberFormat="1" applyFont="1" applyFill="1"/>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18" fillId="0" borderId="7" xfId="0" applyFont="1" applyBorder="1" applyAlignment="1">
      <alignment horizontal="center" vertical="center"/>
    </xf>
    <xf numFmtId="0" fontId="18" fillId="0" borderId="18" xfId="0" applyFont="1" applyBorder="1" applyAlignment="1">
      <alignment horizontal="left" vertical="center"/>
    </xf>
    <xf numFmtId="0" fontId="17" fillId="0" borderId="7" xfId="0" applyFont="1" applyBorder="1" applyAlignment="1">
      <alignment horizontal="left" vertical="center"/>
    </xf>
    <xf numFmtId="168" fontId="19" fillId="0" borderId="7" xfId="0" applyNumberFormat="1" applyFont="1" applyBorder="1" applyAlignment="1">
      <alignment horizontal="center" vertical="center"/>
    </xf>
    <xf numFmtId="10" fontId="3" fillId="2" borderId="0" xfId="3" applyNumberFormat="1" applyFont="1" applyFill="1"/>
    <xf numFmtId="9" fontId="16" fillId="0" borderId="0" xfId="3" applyFont="1" applyFill="1" applyBorder="1"/>
    <xf numFmtId="1" fontId="16" fillId="0" borderId="0" xfId="0" applyNumberFormat="1" applyFont="1"/>
    <xf numFmtId="3" fontId="16" fillId="0" borderId="0" xfId="0" applyNumberFormat="1" applyFont="1"/>
    <xf numFmtId="2" fontId="0" fillId="2" borderId="0" xfId="0" applyNumberFormat="1" applyFill="1"/>
    <xf numFmtId="168" fontId="0" fillId="0" borderId="0" xfId="3" applyNumberFormat="1" applyFont="1" applyFill="1"/>
    <xf numFmtId="168" fontId="0" fillId="0" borderId="0" xfId="0" applyNumberFormat="1"/>
    <xf numFmtId="168" fontId="3" fillId="2" borderId="0" xfId="3" applyNumberFormat="1" applyFont="1" applyFill="1"/>
    <xf numFmtId="10" fontId="3" fillId="2" borderId="0" xfId="3" applyNumberFormat="1" applyFont="1" applyFill="1" applyBorder="1"/>
    <xf numFmtId="14" fontId="3" fillId="2" borderId="0" xfId="0" applyNumberFormat="1" applyFont="1" applyFill="1"/>
    <xf numFmtId="0" fontId="16" fillId="0" borderId="4" xfId="0" applyFont="1" applyBorder="1"/>
    <xf numFmtId="164" fontId="16" fillId="0" borderId="4" xfId="1" applyNumberFormat="1" applyFont="1" applyFill="1" applyBorder="1"/>
    <xf numFmtId="164" fontId="16" fillId="0" borderId="17" xfId="1" applyNumberFormat="1" applyFont="1" applyFill="1" applyBorder="1"/>
    <xf numFmtId="1" fontId="3" fillId="0" borderId="0" xfId="2" applyNumberFormat="1" applyFont="1" applyFill="1" applyBorder="1"/>
    <xf numFmtId="0" fontId="20" fillId="0" borderId="3" xfId="0" applyFont="1" applyBorder="1"/>
    <xf numFmtId="0" fontId="20" fillId="0" borderId="5" xfId="0" applyFont="1" applyBorder="1"/>
    <xf numFmtId="170" fontId="16" fillId="0" borderId="0" xfId="2" applyNumberFormat="1" applyFont="1" applyFill="1" applyBorder="1"/>
    <xf numFmtId="9" fontId="16" fillId="0" borderId="1" xfId="3" applyFont="1" applyFill="1" applyBorder="1"/>
    <xf numFmtId="0" fontId="16" fillId="0" borderId="3" xfId="0" applyFont="1" applyBorder="1"/>
    <xf numFmtId="9" fontId="16" fillId="0" borderId="0" xfId="0" applyNumberFormat="1" applyFont="1"/>
    <xf numFmtId="0" fontId="8" fillId="0" borderId="3" xfId="0" applyFont="1" applyBorder="1"/>
    <xf numFmtId="0" fontId="3" fillId="0" borderId="4" xfId="0" applyFont="1" applyBorder="1"/>
    <xf numFmtId="0" fontId="3" fillId="0" borderId="6" xfId="0" applyFont="1" applyBorder="1"/>
    <xf numFmtId="9" fontId="3" fillId="2" borderId="0" xfId="3" applyFont="1" applyFill="1" applyBorder="1"/>
    <xf numFmtId="168" fontId="16" fillId="0" borderId="0" xfId="3" applyNumberFormat="1" applyFont="1" applyFill="1" applyBorder="1"/>
    <xf numFmtId="168" fontId="3" fillId="2" borderId="1" xfId="3" applyNumberFormat="1" applyFont="1" applyFill="1" applyBorder="1"/>
    <xf numFmtId="0" fontId="3" fillId="2" borderId="1" xfId="0" applyFont="1" applyFill="1" applyBorder="1"/>
    <xf numFmtId="164" fontId="16" fillId="0" borderId="6" xfId="1" applyNumberFormat="1" applyFont="1" applyFill="1" applyBorder="1"/>
    <xf numFmtId="9" fontId="0" fillId="0" borderId="0" xfId="0" applyNumberFormat="1"/>
    <xf numFmtId="0" fontId="2" fillId="0" borderId="2" xfId="0" applyFont="1" applyBorder="1"/>
    <xf numFmtId="168" fontId="0" fillId="0" borderId="2" xfId="0" applyNumberFormat="1" applyBorder="1"/>
    <xf numFmtId="168" fontId="0" fillId="0" borderId="0" xfId="3" applyNumberFormat="1" applyFont="1"/>
    <xf numFmtId="170" fontId="3" fillId="2" borderId="0" xfId="2" applyNumberFormat="1" applyFont="1" applyFill="1" applyBorder="1"/>
    <xf numFmtId="0" fontId="0" fillId="2" borderId="0" xfId="0" applyFill="1"/>
    <xf numFmtId="0" fontId="0" fillId="2" borderId="4" xfId="0" applyFill="1" applyBorder="1"/>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8" fillId="0" borderId="2" xfId="0" applyFont="1" applyBorder="1" applyAlignment="1">
      <alignment horizontal="center"/>
    </xf>
    <xf numFmtId="0" fontId="8" fillId="0" borderId="2" xfId="0" applyFont="1" applyBorder="1" applyAlignment="1">
      <alignment horizontal="center" wrapText="1"/>
    </xf>
    <xf numFmtId="0" fontId="8" fillId="0" borderId="1" xfId="0" applyFont="1" applyBorder="1" applyAlignment="1">
      <alignment horizontal="center" wrapText="1"/>
    </xf>
    <xf numFmtId="0" fontId="14" fillId="4" borderId="0" xfId="0" applyFont="1" applyFill="1" applyAlignment="1">
      <alignment horizontal="left" vertical="center" wrapText="1"/>
    </xf>
    <xf numFmtId="0" fontId="12" fillId="4" borderId="13"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1" xfId="0" applyFont="1" applyFill="1"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52">
    <dxf>
      <font>
        <color theme="2"/>
      </font>
      <fill>
        <patternFill patternType="none">
          <bgColor auto="1"/>
        </patternFill>
      </fill>
    </dxf>
    <dxf>
      <font>
        <color rgb="FFC00000"/>
      </font>
      <fill>
        <patternFill>
          <bgColor rgb="FFFF9999"/>
        </patternFill>
      </fill>
    </dxf>
    <dxf>
      <font>
        <color theme="2"/>
      </font>
      <fill>
        <patternFill patternType="none">
          <bgColor auto="1"/>
        </patternFill>
      </fill>
    </dxf>
    <dxf>
      <font>
        <color rgb="FFC00000"/>
      </font>
      <fill>
        <patternFill>
          <bgColor rgb="FFFF9999"/>
        </patternFill>
      </fill>
    </dxf>
    <dxf>
      <font>
        <color rgb="FFC00000"/>
      </font>
      <fill>
        <patternFill>
          <bgColor rgb="FFFF9999"/>
        </patternFill>
      </fill>
    </dxf>
    <dxf>
      <font>
        <color rgb="FF9C0006"/>
      </font>
      <fill>
        <patternFill>
          <bgColor rgb="FFFFC7CE"/>
        </patternFill>
      </fill>
    </dxf>
    <dxf>
      <font>
        <color rgb="FFFF0000"/>
      </font>
      <fill>
        <patternFill>
          <bgColor rgb="FFFF9999"/>
        </patternFill>
      </fill>
    </dxf>
    <dxf>
      <font>
        <color rgb="FFCC0000"/>
      </font>
      <fill>
        <patternFill>
          <bgColor rgb="FFFF9999"/>
        </patternFill>
      </fill>
    </dxf>
    <dxf>
      <font>
        <b/>
        <i val="0"/>
        <color rgb="FFFF0000"/>
      </font>
    </dxf>
    <dxf>
      <font>
        <color rgb="FF9C0006"/>
      </font>
      <fill>
        <patternFill>
          <bgColor rgb="FFFFC7CE"/>
        </patternFill>
      </fill>
    </dxf>
    <dxf>
      <font>
        <color theme="2"/>
      </font>
    </dxf>
    <dxf>
      <font>
        <color rgb="FFCC0000"/>
      </font>
      <fill>
        <patternFill>
          <bgColor rgb="FFFF7C80"/>
        </patternFill>
      </fill>
    </dxf>
    <dxf>
      <font>
        <color rgb="FF9C0006"/>
      </font>
      <fill>
        <patternFill>
          <bgColor rgb="FFFFC7CE"/>
        </patternFill>
      </fill>
    </dxf>
    <dxf>
      <font>
        <color rgb="FF9C0006"/>
      </font>
      <fill>
        <patternFill>
          <bgColor rgb="FFFFC7CE"/>
        </patternFill>
      </fill>
    </dxf>
    <dxf>
      <font>
        <color theme="2"/>
      </font>
    </dxf>
    <dxf>
      <font>
        <color theme="2"/>
      </font>
      <fill>
        <patternFill patternType="none">
          <bgColor auto="1"/>
        </patternFill>
      </fill>
    </dxf>
    <dxf>
      <font>
        <color theme="2"/>
      </font>
    </dxf>
    <dxf>
      <font>
        <color theme="2"/>
      </font>
      <fill>
        <patternFill patternType="none">
          <bgColor auto="1"/>
        </patternFill>
      </fill>
    </dxf>
    <dxf>
      <font>
        <color theme="2"/>
      </font>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ont>
        <color theme="2"/>
      </font>
      <fill>
        <patternFill patternType="none">
          <bgColor auto="1"/>
        </patternFill>
      </fill>
    </dxf>
    <dxf>
      <font>
        <color theme="2"/>
      </font>
    </dxf>
    <dxf>
      <font>
        <color auto="1"/>
      </font>
    </dxf>
    <dxf>
      <font>
        <color theme="2"/>
      </font>
      <fill>
        <patternFill patternType="none">
          <bgColor auto="1"/>
        </patternFill>
      </fill>
    </dxf>
    <dxf>
      <font>
        <color theme="2"/>
      </font>
      <fill>
        <patternFill patternType="none">
          <bgColor auto="1"/>
        </patternFill>
      </fill>
    </dxf>
    <dxf>
      <font>
        <color theme="2"/>
      </font>
    </dxf>
    <dxf>
      <font>
        <color auto="1"/>
      </font>
    </dxf>
    <dxf>
      <font>
        <color theme="2"/>
      </font>
      <fill>
        <patternFill patternType="none">
          <bgColor auto="1"/>
        </patternFill>
      </fill>
    </dxf>
    <dxf>
      <fill>
        <patternFill>
          <bgColor theme="7" tint="0.79998168889431442"/>
        </patternFill>
      </fill>
    </dxf>
    <dxf>
      <fill>
        <patternFill>
          <bgColor theme="7" tint="0.79998168889431442"/>
        </patternFill>
      </fill>
    </dxf>
    <dxf>
      <font>
        <color theme="2"/>
      </font>
      <fill>
        <patternFill patternType="none">
          <bgColor auto="1"/>
        </patternFill>
      </fill>
    </dxf>
    <dxf>
      <font>
        <color theme="2"/>
      </font>
      <fill>
        <patternFill patternType="none">
          <bgColor auto="1"/>
        </patternFill>
      </fill>
    </dxf>
    <dxf>
      <font>
        <color auto="1"/>
      </font>
    </dxf>
    <dxf>
      <font>
        <color auto="1"/>
      </font>
    </dxf>
    <dxf>
      <font>
        <color theme="2"/>
      </font>
      <fill>
        <patternFill patternType="none">
          <bgColor auto="1"/>
        </patternFill>
      </fill>
    </dxf>
    <dxf>
      <font>
        <color theme="2"/>
      </font>
      <fill>
        <patternFill patternType="none">
          <bgColor auto="1"/>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theme="2"/>
      </font>
      <fill>
        <patternFill patternType="none">
          <bgColor auto="1"/>
        </patternFill>
      </fill>
    </dxf>
    <dxf>
      <font>
        <color theme="2"/>
      </font>
      <fill>
        <patternFill patternType="none">
          <bgColor auto="1"/>
        </patternFill>
      </fill>
    </dxf>
    <dxf>
      <font>
        <color theme="2"/>
      </font>
      <fill>
        <patternFill patternType="none">
          <bgColor auto="1"/>
        </patternFill>
      </fill>
    </dxf>
    <dxf>
      <font>
        <color theme="2"/>
      </font>
      <fill>
        <patternFill patternType="none">
          <bgColor auto="1"/>
        </patternFill>
      </fill>
    </dxf>
    <dxf>
      <font>
        <color theme="2"/>
      </font>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2F92"/>
      <color rgb="FFCC0000"/>
      <color rgb="FFFF9999"/>
      <color rgb="FFFF7C80"/>
      <color rgb="FFFFCCCC"/>
      <color rgb="FF009999"/>
      <color rgb="FFFFFFCC"/>
      <color rgb="FF33CCCC"/>
      <color rgb="FF77CF77"/>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freddiemac.com/pmm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076D4-DE78-4333-B105-8B9763B5B0E6}">
  <dimension ref="A1:G6"/>
  <sheetViews>
    <sheetView workbookViewId="0">
      <selection activeCell="F7" sqref="F7"/>
    </sheetView>
  </sheetViews>
  <sheetFormatPr defaultRowHeight="14.4" x14ac:dyDescent="0.3"/>
  <cols>
    <col min="1" max="1" width="15.88671875" customWidth="1"/>
    <col min="3" max="4" width="18" customWidth="1"/>
    <col min="5" max="5" width="12.88671875" customWidth="1"/>
    <col min="6" max="6" width="16.33203125" customWidth="1"/>
    <col min="7" max="7" width="24.5546875" customWidth="1"/>
  </cols>
  <sheetData>
    <row r="1" spans="1:7" ht="28.2" thickBot="1" x14ac:dyDescent="0.35">
      <c r="A1" s="165" t="s">
        <v>291</v>
      </c>
      <c r="B1" s="165" t="s">
        <v>135</v>
      </c>
      <c r="C1" s="165" t="s">
        <v>3</v>
      </c>
      <c r="D1" s="165" t="s">
        <v>282</v>
      </c>
      <c r="E1" s="162" t="s">
        <v>0</v>
      </c>
      <c r="F1" s="162" t="s">
        <v>200</v>
      </c>
      <c r="G1" s="163" t="s">
        <v>292</v>
      </c>
    </row>
    <row r="2" spans="1:7" ht="15.6" thickTop="1" thickBot="1" x14ac:dyDescent="0.35">
      <c r="A2" s="166" t="str">
        <f>Assumptions!B6</f>
        <v>Scenario 1</v>
      </c>
      <c r="B2" s="166">
        <f>Assumptions!C6</f>
        <v>7</v>
      </c>
      <c r="C2" s="166" t="str">
        <f>Assumptions!D6</f>
        <v>Wood frame</v>
      </c>
      <c r="D2" s="166" t="str">
        <f>Assumptions!F6</f>
        <v>Surface</v>
      </c>
      <c r="E2" s="167">
        <v>0.17499999999999999</v>
      </c>
      <c r="F2" s="167">
        <v>5.5E-2</v>
      </c>
      <c r="G2" s="164" t="s">
        <v>293</v>
      </c>
    </row>
    <row r="3" spans="1:7" ht="15" thickBot="1" x14ac:dyDescent="0.35">
      <c r="A3" s="166" t="str">
        <f>Assumptions!B7</f>
        <v>Scenario 2</v>
      </c>
      <c r="B3" s="166">
        <f>Assumptions!C7</f>
        <v>12</v>
      </c>
      <c r="C3" s="166" t="str">
        <f>Assumptions!D7</f>
        <v>Wood frame</v>
      </c>
      <c r="D3" s="166" t="str">
        <f>Assumptions!F7</f>
        <v>Surface</v>
      </c>
      <c r="E3" s="167">
        <v>0.184</v>
      </c>
      <c r="F3" s="167">
        <v>5.6000000000000001E-2</v>
      </c>
      <c r="G3" s="164" t="s">
        <v>293</v>
      </c>
    </row>
    <row r="4" spans="1:7" ht="15" thickBot="1" x14ac:dyDescent="0.35">
      <c r="A4" s="166" t="str">
        <f>Assumptions!B8</f>
        <v>Scenario 3</v>
      </c>
      <c r="B4" s="166">
        <f>Assumptions!C8</f>
        <v>21</v>
      </c>
      <c r="C4" s="166" t="str">
        <f>Assumptions!D8</f>
        <v>Podium</v>
      </c>
      <c r="D4" s="166" t="str">
        <f>Assumptions!F8</f>
        <v>Podium</v>
      </c>
      <c r="E4" s="167">
        <v>0.182</v>
      </c>
      <c r="F4" s="167">
        <v>5.6000000000000001E-2</v>
      </c>
      <c r="G4" s="164" t="s">
        <v>293</v>
      </c>
    </row>
    <row r="5" spans="1:7" ht="15" thickBot="1" x14ac:dyDescent="0.35">
      <c r="A5" s="166" t="str">
        <f>Assumptions!B9</f>
        <v>Scenario 4</v>
      </c>
      <c r="B5" s="166">
        <f>Assumptions!C9</f>
        <v>52</v>
      </c>
      <c r="C5" s="166" t="str">
        <f>Assumptions!D9</f>
        <v>Podium</v>
      </c>
      <c r="D5" s="166" t="str">
        <f>Assumptions!F9</f>
        <v>Underground</v>
      </c>
      <c r="E5" s="167">
        <v>0.18</v>
      </c>
      <c r="F5" s="167">
        <v>5.5E-2</v>
      </c>
      <c r="G5" s="164" t="s">
        <v>293</v>
      </c>
    </row>
    <row r="6" spans="1:7" ht="15" thickBot="1" x14ac:dyDescent="0.35">
      <c r="A6" s="166" t="str">
        <f>Assumptions!B10</f>
        <v>Scenario 5</v>
      </c>
      <c r="B6" s="166">
        <f>Assumptions!C10</f>
        <v>62</v>
      </c>
      <c r="C6" s="166" t="str">
        <f>Assumptions!D10</f>
        <v>Podium</v>
      </c>
      <c r="D6" s="166" t="str">
        <f>Assumptions!F10</f>
        <v>Underground</v>
      </c>
      <c r="E6" s="167">
        <v>0.17599999999999999</v>
      </c>
      <c r="F6" s="167">
        <v>5.5E-2</v>
      </c>
      <c r="G6" s="164" t="s">
        <v>293</v>
      </c>
    </row>
  </sheetData>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4887-6587-444B-B402-6AA2DC11A5CC}">
  <dimension ref="A1:I38"/>
  <sheetViews>
    <sheetView topLeftCell="A2" zoomScale="120" zoomScaleNormal="125" workbookViewId="0">
      <selection activeCell="F16" sqref="F16"/>
    </sheetView>
  </sheetViews>
  <sheetFormatPr defaultColWidth="8.88671875" defaultRowHeight="14.4" x14ac:dyDescent="0.3"/>
  <cols>
    <col min="1" max="1" width="20.88671875" customWidth="1"/>
    <col min="2" max="5" width="10.88671875" customWidth="1"/>
    <col min="7" max="7" width="22.6640625" customWidth="1"/>
    <col min="8" max="8" width="13.44140625" style="99" customWidth="1"/>
  </cols>
  <sheetData>
    <row r="1" spans="1:9" s="1" customFormat="1" x14ac:dyDescent="0.3">
      <c r="A1" s="21"/>
      <c r="H1" s="22"/>
    </row>
    <row r="2" spans="1:9" s="1" customFormat="1" x14ac:dyDescent="0.3">
      <c r="D2" s="57"/>
      <c r="H2" s="22"/>
    </row>
    <row r="3" spans="1:9" s="1" customFormat="1" x14ac:dyDescent="0.3">
      <c r="A3" s="21" t="s">
        <v>97</v>
      </c>
      <c r="B3" s="21" t="s">
        <v>15</v>
      </c>
      <c r="C3" s="21" t="s">
        <v>197</v>
      </c>
      <c r="D3" s="21" t="s">
        <v>31</v>
      </c>
      <c r="G3" s="21"/>
      <c r="H3" s="22"/>
    </row>
    <row r="4" spans="1:9" s="1" customFormat="1" x14ac:dyDescent="0.3">
      <c r="A4" s="1" t="s">
        <v>34</v>
      </c>
      <c r="B4" s="105">
        <f>'IZ Units'!B19</f>
        <v>1</v>
      </c>
      <c r="C4" s="56">
        <f>Assumptions!O41</f>
        <v>450000</v>
      </c>
      <c r="D4" s="22">
        <f>B4*C4</f>
        <v>450000</v>
      </c>
      <c r="G4" s="1" t="s">
        <v>332</v>
      </c>
      <c r="H4" s="22">
        <f>'Dev Costs'!B33</f>
        <v>3905222</v>
      </c>
      <c r="I4" s="154">
        <f>H4-'Dev Costs'!B30-'Dev Costs'!B27-'Dev Costs'!B24-'Dev Costs'!B5</f>
        <v>0</v>
      </c>
    </row>
    <row r="5" spans="1:9" s="1" customFormat="1" x14ac:dyDescent="0.3">
      <c r="A5" s="1" t="s">
        <v>35</v>
      </c>
      <c r="B5" s="105">
        <f>'IZ Units'!B20</f>
        <v>3</v>
      </c>
      <c r="C5" s="56">
        <f>Assumptions!O42</f>
        <v>625000</v>
      </c>
      <c r="D5" s="22">
        <f t="shared" ref="D5:D31" si="0">B5*C5</f>
        <v>1875000</v>
      </c>
      <c r="H5" s="22"/>
    </row>
    <row r="6" spans="1:9" s="1" customFormat="1" x14ac:dyDescent="0.3">
      <c r="A6" s="1" t="s">
        <v>36</v>
      </c>
      <c r="B6" s="105">
        <f>'IZ Units'!B21</f>
        <v>3</v>
      </c>
      <c r="C6" s="56">
        <f>Assumptions!O43</f>
        <v>775000</v>
      </c>
      <c r="D6" s="22">
        <f t="shared" si="0"/>
        <v>2325000</v>
      </c>
      <c r="F6" s="67"/>
      <c r="G6" s="1" t="s">
        <v>287</v>
      </c>
      <c r="H6" s="66">
        <f>IF(Assumptions!O49="No",Assumptions!O48,IF(Assumptions!C6&lt;Assumptions!C34,Assumptions!O50,IF(Assumptions!C6&gt;Assumptions!C35,Assumptions!O52,Assumptions!O51)))</f>
        <v>10</v>
      </c>
      <c r="I6" s="1" t="s">
        <v>288</v>
      </c>
    </row>
    <row r="7" spans="1:9" s="1" customFormat="1" x14ac:dyDescent="0.3">
      <c r="A7" s="1" t="s">
        <v>37</v>
      </c>
      <c r="B7" s="105">
        <f>'IZ Units'!B22</f>
        <v>0</v>
      </c>
      <c r="C7" s="56">
        <f>Assumptions!O44</f>
        <v>925000</v>
      </c>
      <c r="D7" s="22">
        <f t="shared" si="0"/>
        <v>0</v>
      </c>
      <c r="G7" s="1" t="s">
        <v>289</v>
      </c>
      <c r="H7" s="46">
        <f>Assumptions!O46</f>
        <v>7.0000000000000007E-2</v>
      </c>
    </row>
    <row r="8" spans="1:9" x14ac:dyDescent="0.3">
      <c r="A8" s="1" t="s">
        <v>38</v>
      </c>
      <c r="B8" s="105">
        <f>'IZ Units'!C19</f>
        <v>0</v>
      </c>
      <c r="C8" s="56"/>
      <c r="D8" s="22">
        <f t="shared" si="0"/>
        <v>0</v>
      </c>
      <c r="F8" s="6"/>
    </row>
    <row r="9" spans="1:9" x14ac:dyDescent="0.3">
      <c r="A9" s="1" t="s">
        <v>39</v>
      </c>
      <c r="B9" s="105">
        <f>'IZ Units'!C20</f>
        <v>0</v>
      </c>
      <c r="C9" s="56"/>
      <c r="D9" s="22">
        <f t="shared" si="0"/>
        <v>0</v>
      </c>
      <c r="F9" s="6"/>
      <c r="G9" s="1" t="s">
        <v>286</v>
      </c>
      <c r="H9" s="22">
        <f>(H4/2)*H7/12*H6</f>
        <v>113902.30833333335</v>
      </c>
      <c r="I9" s="28" t="s">
        <v>290</v>
      </c>
    </row>
    <row r="10" spans="1:9" x14ac:dyDescent="0.3">
      <c r="A10" s="1" t="s">
        <v>40</v>
      </c>
      <c r="B10" s="105">
        <f>'IZ Units'!C21</f>
        <v>0</v>
      </c>
      <c r="C10" s="56"/>
      <c r="D10" s="22">
        <f t="shared" si="0"/>
        <v>0</v>
      </c>
      <c r="F10" s="6"/>
      <c r="G10" s="1"/>
    </row>
    <row r="11" spans="1:9" x14ac:dyDescent="0.3">
      <c r="A11" s="1" t="s">
        <v>41</v>
      </c>
      <c r="B11" s="105">
        <f>'IZ Units'!C22</f>
        <v>0</v>
      </c>
      <c r="C11" s="56"/>
      <c r="D11" s="22">
        <f t="shared" si="0"/>
        <v>0</v>
      </c>
      <c r="F11" s="6"/>
      <c r="G11" s="158" t="s">
        <v>199</v>
      </c>
      <c r="H11" s="159">
        <f>D33-H4-H9</f>
        <v>630875.69166666665</v>
      </c>
    </row>
    <row r="12" spans="1:9" x14ac:dyDescent="0.3">
      <c r="A12" s="1" t="s">
        <v>42</v>
      </c>
      <c r="B12" s="105">
        <f>'IZ Units'!D19</f>
        <v>0</v>
      </c>
      <c r="C12" s="56"/>
      <c r="D12" s="22">
        <f t="shared" si="0"/>
        <v>0</v>
      </c>
      <c r="F12" s="6"/>
      <c r="G12" s="160" t="s">
        <v>200</v>
      </c>
      <c r="H12" s="161">
        <f>H11/H4</f>
        <v>0.16154669098624014</v>
      </c>
    </row>
    <row r="13" spans="1:9" x14ac:dyDescent="0.3">
      <c r="A13" s="1" t="s">
        <v>43</v>
      </c>
      <c r="B13" s="105">
        <f>'IZ Units'!D20</f>
        <v>0</v>
      </c>
      <c r="C13" s="56"/>
      <c r="D13" s="22">
        <f t="shared" si="0"/>
        <v>0</v>
      </c>
      <c r="F13" s="6"/>
    </row>
    <row r="14" spans="1:9" x14ac:dyDescent="0.3">
      <c r="A14" s="1" t="s">
        <v>44</v>
      </c>
      <c r="B14" s="105">
        <f>'IZ Units'!D21</f>
        <v>0</v>
      </c>
      <c r="C14" s="56"/>
      <c r="D14" s="22">
        <f t="shared" si="0"/>
        <v>0</v>
      </c>
      <c r="F14" s="6"/>
    </row>
    <row r="15" spans="1:9" x14ac:dyDescent="0.3">
      <c r="A15" s="1" t="s">
        <v>45</v>
      </c>
      <c r="B15" s="105">
        <f>'IZ Units'!D22</f>
        <v>0</v>
      </c>
      <c r="C15" s="56"/>
      <c r="D15" s="22">
        <f t="shared" si="0"/>
        <v>0</v>
      </c>
      <c r="F15" s="6"/>
    </row>
    <row r="16" spans="1:9" x14ac:dyDescent="0.3">
      <c r="A16" s="1" t="s">
        <v>191</v>
      </c>
      <c r="B16" s="105">
        <f>'IZ Units'!E19</f>
        <v>0</v>
      </c>
      <c r="C16" s="56"/>
      <c r="D16" s="22">
        <f t="shared" si="0"/>
        <v>0</v>
      </c>
      <c r="F16" s="6"/>
    </row>
    <row r="17" spans="1:8" x14ac:dyDescent="0.3">
      <c r="A17" s="1" t="s">
        <v>192</v>
      </c>
      <c r="B17" s="105">
        <f>'IZ Units'!E20</f>
        <v>0</v>
      </c>
      <c r="C17" s="56"/>
      <c r="D17" s="22">
        <f t="shared" si="0"/>
        <v>0</v>
      </c>
      <c r="F17" s="6"/>
    </row>
    <row r="18" spans="1:8" x14ac:dyDescent="0.3">
      <c r="A18" s="1" t="s">
        <v>193</v>
      </c>
      <c r="B18" s="105">
        <f>'IZ Units'!E21</f>
        <v>0</v>
      </c>
      <c r="C18" s="56"/>
      <c r="D18" s="22">
        <f t="shared" si="0"/>
        <v>0</v>
      </c>
      <c r="F18" s="6"/>
    </row>
    <row r="19" spans="1:8" x14ac:dyDescent="0.3">
      <c r="A19" s="1" t="s">
        <v>194</v>
      </c>
      <c r="B19" s="105">
        <f>'IZ Units'!E22</f>
        <v>0</v>
      </c>
      <c r="C19" s="56"/>
      <c r="D19" s="22">
        <f t="shared" si="0"/>
        <v>0</v>
      </c>
      <c r="F19" s="6"/>
    </row>
    <row r="20" spans="1:8" x14ac:dyDescent="0.3">
      <c r="A20" s="1" t="s">
        <v>46</v>
      </c>
      <c r="B20" s="105">
        <f>'IZ Units'!F19</f>
        <v>0</v>
      </c>
      <c r="C20" s="56">
        <f>Affordability!L23</f>
        <v>196780.82715166683</v>
      </c>
      <c r="D20" s="22">
        <f>B20*C20</f>
        <v>0</v>
      </c>
      <c r="F20" s="6"/>
    </row>
    <row r="21" spans="1:8" x14ac:dyDescent="0.3">
      <c r="A21" s="1" t="s">
        <v>47</v>
      </c>
      <c r="B21" s="105">
        <f>'IZ Units'!F20</f>
        <v>0</v>
      </c>
      <c r="C21" s="56">
        <f>Affordability!M23</f>
        <v>225971.03098332978</v>
      </c>
      <c r="D21" s="22">
        <f t="shared" si="0"/>
        <v>0</v>
      </c>
      <c r="F21" s="7"/>
    </row>
    <row r="22" spans="1:8" x14ac:dyDescent="0.3">
      <c r="A22" s="1" t="s">
        <v>48</v>
      </c>
      <c r="B22" s="105">
        <f>'IZ Units'!F21</f>
        <v>0</v>
      </c>
      <c r="C22" s="56">
        <f>Affordability!N23</f>
        <v>254880.81144015279</v>
      </c>
      <c r="D22" s="22">
        <f t="shared" si="0"/>
        <v>0</v>
      </c>
      <c r="F22" s="7"/>
    </row>
    <row r="23" spans="1:8" x14ac:dyDescent="0.3">
      <c r="A23" s="1" t="s">
        <v>49</v>
      </c>
      <c r="B23" s="105">
        <f>'IZ Units'!F22</f>
        <v>0</v>
      </c>
      <c r="C23" s="56">
        <f>Affordability!O23</f>
        <v>283790.59189697588</v>
      </c>
      <c r="D23" s="22">
        <f t="shared" si="0"/>
        <v>0</v>
      </c>
      <c r="F23" s="7"/>
    </row>
    <row r="24" spans="1:8" x14ac:dyDescent="0.3">
      <c r="A24" s="1" t="s">
        <v>50</v>
      </c>
      <c r="B24" s="75">
        <f>'IZ Units'!G19</f>
        <v>0</v>
      </c>
      <c r="C24" s="56"/>
      <c r="D24" s="22">
        <f t="shared" si="0"/>
        <v>0</v>
      </c>
      <c r="F24" s="6"/>
    </row>
    <row r="25" spans="1:8" x14ac:dyDescent="0.3">
      <c r="A25" s="1" t="s">
        <v>51</v>
      </c>
      <c r="B25" s="75">
        <f>'IZ Units'!G20</f>
        <v>0</v>
      </c>
      <c r="C25" s="56"/>
      <c r="D25" s="22">
        <f t="shared" si="0"/>
        <v>0</v>
      </c>
      <c r="F25" s="6"/>
    </row>
    <row r="26" spans="1:8" x14ac:dyDescent="0.3">
      <c r="A26" s="1" t="s">
        <v>52</v>
      </c>
      <c r="B26" s="105">
        <f>'IZ Units'!G21</f>
        <v>0</v>
      </c>
      <c r="C26" s="56"/>
      <c r="D26" s="22">
        <f t="shared" si="0"/>
        <v>0</v>
      </c>
      <c r="F26" s="6"/>
    </row>
    <row r="27" spans="1:8" x14ac:dyDescent="0.3">
      <c r="A27" s="1" t="s">
        <v>53</v>
      </c>
      <c r="B27" s="105">
        <f>'IZ Units'!G22</f>
        <v>0</v>
      </c>
      <c r="C27" s="56"/>
      <c r="D27" s="22">
        <f t="shared" si="0"/>
        <v>0</v>
      </c>
      <c r="F27" s="6"/>
    </row>
    <row r="28" spans="1:8" x14ac:dyDescent="0.3">
      <c r="A28" s="1" t="s">
        <v>54</v>
      </c>
      <c r="B28" s="75">
        <f>'IZ Units'!H19</f>
        <v>0</v>
      </c>
      <c r="C28" s="56">
        <f>Affordability!L41</f>
        <v>307182.70861647383</v>
      </c>
      <c r="D28" s="22">
        <f t="shared" si="0"/>
        <v>0</v>
      </c>
      <c r="F28" s="6"/>
    </row>
    <row r="29" spans="1:8" x14ac:dyDescent="0.3">
      <c r="A29" s="1" t="s">
        <v>55</v>
      </c>
      <c r="B29" s="75">
        <f>'IZ Units'!H20</f>
        <v>0</v>
      </c>
      <c r="C29" s="56">
        <f>Affordability!M41</f>
        <v>352194.66632648208</v>
      </c>
      <c r="D29" s="22">
        <f t="shared" si="0"/>
        <v>0</v>
      </c>
      <c r="F29" s="6"/>
    </row>
    <row r="30" spans="1:8" x14ac:dyDescent="0.3">
      <c r="A30" s="1" t="s">
        <v>56</v>
      </c>
      <c r="B30" s="105">
        <f>'IZ Units'!H21</f>
        <v>0</v>
      </c>
      <c r="C30" s="56">
        <f>Affordability!N41</f>
        <v>396936.34931712062</v>
      </c>
      <c r="D30" s="22">
        <f t="shared" si="0"/>
        <v>0</v>
      </c>
      <c r="F30" s="6"/>
    </row>
    <row r="31" spans="1:8" x14ac:dyDescent="0.3">
      <c r="A31" s="1" t="s">
        <v>57</v>
      </c>
      <c r="B31" s="75">
        <f>'IZ Units'!H22</f>
        <v>0</v>
      </c>
      <c r="C31" s="56">
        <f>Affordability!O41</f>
        <v>441547.70220592903</v>
      </c>
      <c r="D31" s="22">
        <f t="shared" si="0"/>
        <v>0</v>
      </c>
      <c r="F31" s="6"/>
    </row>
    <row r="32" spans="1:8" s="1" customFormat="1" x14ac:dyDescent="0.3">
      <c r="B32" s="104"/>
      <c r="C32" s="3"/>
      <c r="D32" s="3"/>
      <c r="H32" s="22"/>
    </row>
    <row r="33" spans="1:8" s="1" customFormat="1" x14ac:dyDescent="0.3">
      <c r="A33" s="21" t="s">
        <v>198</v>
      </c>
      <c r="B33" s="109"/>
      <c r="C33" s="54"/>
      <c r="D33" s="54">
        <f>SUM(D4:D31)</f>
        <v>4650000</v>
      </c>
      <c r="H33" s="22"/>
    </row>
    <row r="34" spans="1:8" s="1" customFormat="1" x14ac:dyDescent="0.3">
      <c r="B34" s="22"/>
      <c r="D34" s="22"/>
      <c r="H34" s="22"/>
    </row>
    <row r="35" spans="1:8" s="1" customFormat="1" x14ac:dyDescent="0.3">
      <c r="A35" s="21"/>
      <c r="B35" s="22"/>
      <c r="C35" s="4"/>
      <c r="D35" s="110"/>
      <c r="E35" s="3"/>
      <c r="H35" s="22"/>
    </row>
    <row r="36" spans="1:8" s="1" customFormat="1" x14ac:dyDescent="0.3">
      <c r="H36" s="22"/>
    </row>
    <row r="37" spans="1:8" s="1" customFormat="1" x14ac:dyDescent="0.3">
      <c r="H37" s="22"/>
    </row>
    <row r="38" spans="1:8" s="1" customFormat="1" x14ac:dyDescent="0.3">
      <c r="H38" s="22"/>
    </row>
  </sheetData>
  <conditionalFormatting sqref="I4">
    <cfRule type="cellIs" dxfId="4" priority="1" operator="notEqual">
      <formula>0</formula>
    </cfRule>
  </conditionalFormatting>
  <conditionalFormatting sqref="I8">
    <cfRule type="cellIs" dxfId="3" priority="4" operator="notEqual">
      <formula>0</formula>
    </cfRule>
    <cfRule type="cellIs" dxfId="2" priority="5" operator="equal">
      <formula>0</formula>
    </cfRule>
  </conditionalFormatting>
  <conditionalFormatting sqref="I10">
    <cfRule type="cellIs" dxfId="1" priority="2" operator="notEqual">
      <formula>0</formula>
    </cfRule>
    <cfRule type="cellIs" dxfId="0" priority="3" operator="equal">
      <formula>0</formula>
    </cfRule>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17BB-F6AF-8643-B14D-6A253D617206}">
  <dimension ref="A1:G48"/>
  <sheetViews>
    <sheetView topLeftCell="A25" zoomScaleNormal="100" workbookViewId="0">
      <selection activeCell="F27" sqref="F27"/>
    </sheetView>
  </sheetViews>
  <sheetFormatPr defaultColWidth="8.88671875" defaultRowHeight="14.4" x14ac:dyDescent="0.3"/>
  <cols>
    <col min="1" max="1" width="38.33203125" style="117" customWidth="1"/>
    <col min="2" max="2" width="10.33203125" style="117" customWidth="1"/>
    <col min="3" max="3" width="33" style="117" customWidth="1"/>
    <col min="4" max="16384" width="8.88671875" style="117"/>
  </cols>
  <sheetData>
    <row r="1" spans="1:7" ht="15.6" x14ac:dyDescent="0.3">
      <c r="A1" s="116" t="s">
        <v>218</v>
      </c>
    </row>
    <row r="2" spans="1:7" ht="15" thickBot="1" x14ac:dyDescent="0.35">
      <c r="A2" s="118" t="s">
        <v>219</v>
      </c>
      <c r="B2" s="119"/>
      <c r="C2" s="119"/>
    </row>
    <row r="3" spans="1:7" ht="15" customHeight="1" x14ac:dyDescent="0.3">
      <c r="A3" s="208" t="s">
        <v>220</v>
      </c>
      <c r="B3" s="208"/>
      <c r="C3" s="208"/>
    </row>
    <row r="4" spans="1:7" x14ac:dyDescent="0.3">
      <c r="A4" s="208"/>
      <c r="B4" s="208"/>
      <c r="C4" s="208"/>
    </row>
    <row r="5" spans="1:7" x14ac:dyDescent="0.3">
      <c r="A5" s="208"/>
      <c r="B5" s="208"/>
      <c r="C5" s="208"/>
    </row>
    <row r="6" spans="1:7" ht="27.6" customHeight="1" x14ac:dyDescent="0.3">
      <c r="A6" s="208"/>
      <c r="B6" s="208"/>
      <c r="C6" s="208"/>
    </row>
    <row r="7" spans="1:7" x14ac:dyDescent="0.3">
      <c r="A7" s="120" t="s">
        <v>221</v>
      </c>
      <c r="B7" s="121" t="s">
        <v>222</v>
      </c>
      <c r="C7" s="121" t="s">
        <v>223</v>
      </c>
    </row>
    <row r="8" spans="1:7" x14ac:dyDescent="0.3">
      <c r="A8" s="117" t="s">
        <v>224</v>
      </c>
      <c r="G8" s="117" t="s">
        <v>261</v>
      </c>
    </row>
    <row r="9" spans="1:7" x14ac:dyDescent="0.3">
      <c r="A9" s="122" t="s">
        <v>225</v>
      </c>
      <c r="B9" s="123">
        <f>Assumptions!O13/Assumptions!C22</f>
        <v>4.8571428571428568</v>
      </c>
      <c r="C9" s="209" t="s">
        <v>272</v>
      </c>
      <c r="F9" s="117" t="s">
        <v>5</v>
      </c>
      <c r="G9" s="117">
        <f>Assumptions!O41/Assumptions!C22</f>
        <v>857.14285714285711</v>
      </c>
    </row>
    <row r="10" spans="1:7" x14ac:dyDescent="0.3">
      <c r="A10" s="122" t="s">
        <v>226</v>
      </c>
      <c r="B10" s="123">
        <f>Assumptions!O14/Assumptions!C23</f>
        <v>4.5999999999999996</v>
      </c>
      <c r="C10" s="210"/>
      <c r="F10" s="117" t="s">
        <v>262</v>
      </c>
      <c r="G10" s="117">
        <f>Assumptions!O42/Assumptions!C23</f>
        <v>833.33333333333337</v>
      </c>
    </row>
    <row r="11" spans="1:7" x14ac:dyDescent="0.3">
      <c r="A11" s="122" t="s">
        <v>227</v>
      </c>
      <c r="B11" s="123">
        <f>Assumptions!O15/Assumptions!C24</f>
        <v>4.0487804878048781</v>
      </c>
      <c r="C11" s="210"/>
      <c r="F11" s="117" t="s">
        <v>263</v>
      </c>
      <c r="G11" s="117">
        <f>Assumptions!O43/Assumptions!C24</f>
        <v>756.09756097560978</v>
      </c>
    </row>
    <row r="12" spans="1:7" x14ac:dyDescent="0.3">
      <c r="A12" s="122" t="s">
        <v>228</v>
      </c>
      <c r="B12" s="123">
        <f>Assumptions!O16/Assumptions!C25</f>
        <v>3.5849056603773586</v>
      </c>
      <c r="C12" s="211"/>
      <c r="F12" s="117" t="s">
        <v>264</v>
      </c>
      <c r="G12" s="117">
        <f>Assumptions!O44/Assumptions!C25</f>
        <v>698.11320754716985</v>
      </c>
    </row>
    <row r="13" spans="1:7" x14ac:dyDescent="0.3">
      <c r="A13" s="117" t="s">
        <v>229</v>
      </c>
      <c r="B13" s="123" t="s">
        <v>294</v>
      </c>
      <c r="C13" s="124"/>
    </row>
    <row r="14" spans="1:7" x14ac:dyDescent="0.3">
      <c r="A14" s="117" t="s">
        <v>230</v>
      </c>
    </row>
    <row r="15" spans="1:7" x14ac:dyDescent="0.3">
      <c r="A15" s="122" t="s">
        <v>231</v>
      </c>
      <c r="B15" s="125">
        <f>Assumptions!O7</f>
        <v>75</v>
      </c>
      <c r="C15" s="124" t="s">
        <v>271</v>
      </c>
    </row>
    <row r="16" spans="1:7" x14ac:dyDescent="0.3">
      <c r="A16" s="122" t="s">
        <v>232</v>
      </c>
      <c r="B16" s="125" t="s">
        <v>1</v>
      </c>
      <c r="C16" s="124" t="s">
        <v>1</v>
      </c>
    </row>
    <row r="17" spans="1:3" x14ac:dyDescent="0.3">
      <c r="A17" s="122" t="s">
        <v>233</v>
      </c>
      <c r="B17" s="125" t="s">
        <v>1</v>
      </c>
      <c r="C17" s="124" t="s">
        <v>1</v>
      </c>
    </row>
    <row r="19" spans="1:3" x14ac:dyDescent="0.3">
      <c r="A19" s="120" t="s">
        <v>234</v>
      </c>
      <c r="B19" s="121" t="s">
        <v>222</v>
      </c>
      <c r="C19" s="121" t="s">
        <v>223</v>
      </c>
    </row>
    <row r="20" spans="1:3" x14ac:dyDescent="0.3">
      <c r="A20" s="117" t="s">
        <v>235</v>
      </c>
      <c r="B20" s="125">
        <f>Assumptions!G15</f>
        <v>75000</v>
      </c>
      <c r="C20" s="124" t="s">
        <v>268</v>
      </c>
    </row>
    <row r="21" spans="1:3" x14ac:dyDescent="0.3">
      <c r="A21" s="117" t="s">
        <v>236</v>
      </c>
      <c r="B21" s="125" t="s">
        <v>265</v>
      </c>
      <c r="C21" s="124"/>
    </row>
    <row r="22" spans="1:3" x14ac:dyDescent="0.3">
      <c r="A22" s="117" t="s">
        <v>237</v>
      </c>
      <c r="B22" s="126">
        <f>Assumptions!G33</f>
        <v>0.2</v>
      </c>
      <c r="C22" s="124" t="s">
        <v>271</v>
      </c>
    </row>
    <row r="23" spans="1:3" x14ac:dyDescent="0.3">
      <c r="A23" s="117" t="s">
        <v>238</v>
      </c>
    </row>
    <row r="24" spans="1:3" x14ac:dyDescent="0.3">
      <c r="A24" s="127" t="s">
        <v>239</v>
      </c>
      <c r="B24" s="123" t="s">
        <v>1</v>
      </c>
      <c r="C24" s="124" t="s">
        <v>1</v>
      </c>
    </row>
    <row r="25" spans="1:3" x14ac:dyDescent="0.3">
      <c r="A25" s="127" t="s">
        <v>240</v>
      </c>
      <c r="B25" s="123">
        <f>Assumptions!G23</f>
        <v>320</v>
      </c>
      <c r="C25" s="124" t="s">
        <v>269</v>
      </c>
    </row>
    <row r="26" spans="1:3" x14ac:dyDescent="0.3">
      <c r="A26" s="127" t="s">
        <v>241</v>
      </c>
      <c r="B26" s="123">
        <f>Assumptions!G24</f>
        <v>340</v>
      </c>
      <c r="C26" s="124" t="s">
        <v>269</v>
      </c>
    </row>
    <row r="27" spans="1:3" x14ac:dyDescent="0.3">
      <c r="A27" s="127" t="s">
        <v>242</v>
      </c>
      <c r="B27" s="123">
        <f>Assumptions!G25</f>
        <v>375</v>
      </c>
      <c r="C27" s="124" t="s">
        <v>269</v>
      </c>
    </row>
    <row r="28" spans="1:3" x14ac:dyDescent="0.3">
      <c r="A28" s="127" t="s">
        <v>243</v>
      </c>
    </row>
    <row r="29" spans="1:3" x14ac:dyDescent="0.3">
      <c r="A29" s="128" t="s">
        <v>244</v>
      </c>
      <c r="B29" s="129">
        <f>Assumptions!C29</f>
        <v>0.7</v>
      </c>
      <c r="C29" s="124" t="s">
        <v>267</v>
      </c>
    </row>
    <row r="30" spans="1:3" x14ac:dyDescent="0.3">
      <c r="A30" s="128" t="s">
        <v>245</v>
      </c>
    </row>
    <row r="31" spans="1:3" x14ac:dyDescent="0.3">
      <c r="A31" s="130" t="s">
        <v>246</v>
      </c>
      <c r="B31" s="125">
        <f>Assumptions!G29</f>
        <v>15000</v>
      </c>
      <c r="C31" s="124" t="s">
        <v>269</v>
      </c>
    </row>
    <row r="32" spans="1:3" x14ac:dyDescent="0.3">
      <c r="A32" s="130" t="s">
        <v>247</v>
      </c>
      <c r="B32" s="125">
        <f>Assumptions!G30</f>
        <v>40000</v>
      </c>
      <c r="C32" s="124" t="s">
        <v>269</v>
      </c>
    </row>
    <row r="33" spans="1:3" x14ac:dyDescent="0.3">
      <c r="A33" s="130" t="s">
        <v>248</v>
      </c>
      <c r="B33" s="125">
        <f>Assumptions!G31</f>
        <v>75000</v>
      </c>
      <c r="C33" s="124" t="s">
        <v>269</v>
      </c>
    </row>
    <row r="34" spans="1:3" x14ac:dyDescent="0.3">
      <c r="A34" s="131"/>
    </row>
    <row r="35" spans="1:3" x14ac:dyDescent="0.3">
      <c r="A35" s="132" t="s">
        <v>249</v>
      </c>
      <c r="B35" s="121" t="s">
        <v>222</v>
      </c>
      <c r="C35" s="121" t="s">
        <v>223</v>
      </c>
    </row>
    <row r="36" spans="1:3" x14ac:dyDescent="0.3">
      <c r="A36" s="127" t="s">
        <v>250</v>
      </c>
      <c r="B36" s="137">
        <f>Assumptions!O5</f>
        <v>0.05</v>
      </c>
      <c r="C36" s="124" t="s">
        <v>270</v>
      </c>
    </row>
    <row r="37" spans="1:3" x14ac:dyDescent="0.3">
      <c r="A37" s="127" t="s">
        <v>251</v>
      </c>
      <c r="B37" s="126" t="s">
        <v>1</v>
      </c>
      <c r="C37" s="124" t="s">
        <v>1</v>
      </c>
    </row>
    <row r="38" spans="1:3" x14ac:dyDescent="0.3">
      <c r="A38" s="127" t="s">
        <v>252</v>
      </c>
      <c r="B38" s="126">
        <f>Operating!E49/Operating!E46</f>
        <v>0.27428532488330098</v>
      </c>
      <c r="C38" s="124" t="s">
        <v>271</v>
      </c>
    </row>
    <row r="40" spans="1:3" x14ac:dyDescent="0.3">
      <c r="A40" s="132" t="s">
        <v>253</v>
      </c>
      <c r="B40" s="121" t="s">
        <v>222</v>
      </c>
      <c r="C40" s="121" t="s">
        <v>223</v>
      </c>
    </row>
    <row r="41" spans="1:3" x14ac:dyDescent="0.3">
      <c r="A41" s="133" t="s">
        <v>254</v>
      </c>
      <c r="B41" s="134">
        <f>Financing!B4</f>
        <v>6.5000000000000002E-2</v>
      </c>
      <c r="C41" s="124" t="s">
        <v>270</v>
      </c>
    </row>
    <row r="42" spans="1:3" x14ac:dyDescent="0.3">
      <c r="A42" s="133" t="s">
        <v>255</v>
      </c>
      <c r="B42" s="138">
        <f>Financing!B5</f>
        <v>30</v>
      </c>
      <c r="C42" s="124" t="s">
        <v>270</v>
      </c>
    </row>
    <row r="43" spans="1:3" x14ac:dyDescent="0.3">
      <c r="A43" s="133" t="s">
        <v>256</v>
      </c>
      <c r="B43" s="137">
        <f>Financing!C17</f>
        <v>0.59922120612550545</v>
      </c>
      <c r="C43" s="124" t="s">
        <v>270</v>
      </c>
    </row>
    <row r="44" spans="1:3" x14ac:dyDescent="0.3">
      <c r="A44" s="133" t="s">
        <v>117</v>
      </c>
      <c r="B44" s="134">
        <f>Financing!B8</f>
        <v>0.04</v>
      </c>
      <c r="C44" s="124" t="s">
        <v>273</v>
      </c>
    </row>
    <row r="45" spans="1:3" x14ac:dyDescent="0.3">
      <c r="A45" s="133" t="s">
        <v>257</v>
      </c>
      <c r="B45" s="135"/>
    </row>
    <row r="46" spans="1:3" x14ac:dyDescent="0.3">
      <c r="A46" s="136" t="s">
        <v>258</v>
      </c>
      <c r="B46" s="134">
        <f>Assumptions!C39</f>
        <v>0.16</v>
      </c>
      <c r="C46" s="124" t="s">
        <v>271</v>
      </c>
    </row>
    <row r="47" spans="1:3" x14ac:dyDescent="0.3">
      <c r="A47" s="136" t="s">
        <v>259</v>
      </c>
      <c r="B47" s="134">
        <f>Assumptions!C40</f>
        <v>5.5E-2</v>
      </c>
      <c r="C47" s="124" t="s">
        <v>271</v>
      </c>
    </row>
    <row r="48" spans="1:3" x14ac:dyDescent="0.3">
      <c r="A48" s="136" t="s">
        <v>260</v>
      </c>
      <c r="B48" s="134" t="s">
        <v>1</v>
      </c>
      <c r="C48" s="124" t="s">
        <v>1</v>
      </c>
    </row>
  </sheetData>
  <mergeCells count="2">
    <mergeCell ref="A3:C6"/>
    <mergeCell ref="C9: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FDC6-CEFC-534E-9B5B-F263E1B3BD4F}">
  <dimension ref="B1:Y52"/>
  <sheetViews>
    <sheetView tabSelected="1" zoomScale="85" zoomScaleNormal="85" workbookViewId="0">
      <selection activeCell="F12" sqref="F12"/>
    </sheetView>
  </sheetViews>
  <sheetFormatPr defaultColWidth="11.44140625" defaultRowHeight="14.4" x14ac:dyDescent="0.3"/>
  <cols>
    <col min="1" max="1" width="2.88671875" customWidth="1"/>
    <col min="2" max="2" width="20.88671875" customWidth="1"/>
    <col min="3" max="3" width="12.88671875" customWidth="1"/>
    <col min="4" max="4" width="15.33203125" customWidth="1"/>
    <col min="5" max="5" width="3" customWidth="1"/>
    <col min="6" max="6" width="16.5546875" customWidth="1"/>
    <col min="7" max="7" width="12.88671875" customWidth="1"/>
    <col min="8" max="8" width="13.33203125" customWidth="1"/>
    <col min="9" max="9" width="2.88671875" customWidth="1"/>
    <col min="10" max="10" width="24.88671875" customWidth="1"/>
    <col min="13" max="13" width="2.88671875" customWidth="1"/>
    <col min="14" max="14" width="24.6640625" customWidth="1"/>
    <col min="19" max="19" width="7.6640625" customWidth="1"/>
    <col min="22" max="22" width="6.6640625" customWidth="1"/>
    <col min="23" max="23" width="8" customWidth="1"/>
    <col min="24" max="24" width="8.77734375" customWidth="1"/>
  </cols>
  <sheetData>
    <row r="1" spans="2:25" x14ac:dyDescent="0.3">
      <c r="C1" s="114" t="s">
        <v>0</v>
      </c>
      <c r="D1" s="114">
        <f>Profitability!E4</f>
        <v>0.17507765088059823</v>
      </c>
      <c r="E1" s="114"/>
      <c r="F1" s="173"/>
    </row>
    <row r="2" spans="2:25" x14ac:dyDescent="0.3">
      <c r="C2" s="115" t="s">
        <v>217</v>
      </c>
      <c r="D2" s="149">
        <f>Profitability!E5</f>
        <v>5.4539793128277982E-2</v>
      </c>
      <c r="E2" s="149"/>
      <c r="F2" s="174"/>
    </row>
    <row r="3" spans="2:25" x14ac:dyDescent="0.3">
      <c r="B3" s="86" t="s">
        <v>312</v>
      </c>
      <c r="C3" s="87"/>
      <c r="D3" s="87"/>
      <c r="E3" s="87"/>
      <c r="F3" s="87"/>
      <c r="G3" s="87"/>
      <c r="H3" s="88"/>
      <c r="J3" s="86" t="s">
        <v>170</v>
      </c>
      <c r="K3" s="87"/>
      <c r="L3" s="88"/>
      <c r="N3" s="86" t="s">
        <v>30</v>
      </c>
      <c r="O3" s="87"/>
      <c r="P3" s="88"/>
    </row>
    <row r="4" spans="2:25" x14ac:dyDescent="0.3">
      <c r="B4" s="89"/>
      <c r="H4" s="90"/>
      <c r="J4" s="89"/>
      <c r="L4" s="90"/>
      <c r="N4" s="89"/>
      <c r="P4" s="90"/>
    </row>
    <row r="5" spans="2:25" ht="15" thickBot="1" x14ac:dyDescent="0.35">
      <c r="B5" s="91" t="s">
        <v>133</v>
      </c>
      <c r="C5" t="s">
        <v>135</v>
      </c>
      <c r="D5" t="s">
        <v>149</v>
      </c>
      <c r="F5" t="s">
        <v>281</v>
      </c>
      <c r="G5" t="s">
        <v>183</v>
      </c>
      <c r="H5" s="90" t="s">
        <v>326</v>
      </c>
      <c r="J5" s="91" t="s">
        <v>63</v>
      </c>
      <c r="K5" s="29">
        <v>7</v>
      </c>
      <c r="L5" s="90" t="s">
        <v>64</v>
      </c>
      <c r="N5" s="91" t="s">
        <v>8</v>
      </c>
      <c r="O5" s="92">
        <v>0.05</v>
      </c>
      <c r="P5" s="90"/>
    </row>
    <row r="6" spans="2:25" ht="15" thickBot="1" x14ac:dyDescent="0.35">
      <c r="B6" s="155" t="s">
        <v>128</v>
      </c>
      <c r="C6" s="156">
        <v>7</v>
      </c>
      <c r="D6" s="157" t="s">
        <v>150</v>
      </c>
      <c r="E6" s="157"/>
      <c r="F6" s="157" t="s">
        <v>156</v>
      </c>
      <c r="G6" s="157" t="s">
        <v>62</v>
      </c>
      <c r="H6" s="180">
        <v>3500</v>
      </c>
      <c r="J6" s="89"/>
      <c r="L6" s="90"/>
      <c r="N6" s="89"/>
      <c r="P6" s="90"/>
    </row>
    <row r="7" spans="2:25" x14ac:dyDescent="0.3">
      <c r="B7" s="89" t="s">
        <v>129</v>
      </c>
      <c r="C7" s="66">
        <v>12</v>
      </c>
      <c r="D7" s="29" t="s">
        <v>150</v>
      </c>
      <c r="E7" s="29"/>
      <c r="F7" s="29" t="s">
        <v>156</v>
      </c>
      <c r="G7" s="29" t="s">
        <v>62</v>
      </c>
      <c r="H7" s="179">
        <v>1000</v>
      </c>
      <c r="J7" s="89" t="s">
        <v>175</v>
      </c>
      <c r="K7" s="29" t="s">
        <v>77</v>
      </c>
      <c r="L7" s="90"/>
      <c r="N7" s="91" t="s">
        <v>164</v>
      </c>
      <c r="O7" s="98">
        <v>75</v>
      </c>
      <c r="P7" s="90" t="s">
        <v>165</v>
      </c>
    </row>
    <row r="8" spans="2:25" x14ac:dyDescent="0.3">
      <c r="B8" s="89" t="s">
        <v>130</v>
      </c>
      <c r="C8" s="66">
        <v>21</v>
      </c>
      <c r="D8" s="29" t="s">
        <v>151</v>
      </c>
      <c r="E8" s="29"/>
      <c r="F8" s="29" t="s">
        <v>151</v>
      </c>
      <c r="G8" s="29" t="s">
        <v>62</v>
      </c>
      <c r="H8" s="179">
        <v>3500</v>
      </c>
      <c r="J8" s="89" t="s">
        <v>177</v>
      </c>
      <c r="K8" s="29">
        <v>20</v>
      </c>
      <c r="L8" s="90" t="s">
        <v>64</v>
      </c>
      <c r="N8" s="89" t="s">
        <v>316</v>
      </c>
      <c r="O8" s="29" t="s">
        <v>77</v>
      </c>
      <c r="P8" s="90"/>
    </row>
    <row r="9" spans="2:25" x14ac:dyDescent="0.3">
      <c r="B9" s="89" t="s">
        <v>131</v>
      </c>
      <c r="C9" s="66">
        <v>52</v>
      </c>
      <c r="D9" s="29" t="s">
        <v>151</v>
      </c>
      <c r="E9" s="29"/>
      <c r="F9" s="29" t="s">
        <v>266</v>
      </c>
      <c r="G9" s="29" t="s">
        <v>77</v>
      </c>
      <c r="H9" s="179">
        <v>9000</v>
      </c>
      <c r="J9" s="89" t="s">
        <v>176</v>
      </c>
      <c r="K9" s="29" t="s">
        <v>77</v>
      </c>
      <c r="L9" s="90"/>
      <c r="N9" s="89" t="s">
        <v>317</v>
      </c>
      <c r="O9" s="98">
        <v>75</v>
      </c>
      <c r="P9" s="90" t="s">
        <v>165</v>
      </c>
      <c r="W9" s="199"/>
      <c r="X9" s="199"/>
      <c r="Y9" s="199"/>
    </row>
    <row r="10" spans="2:25" x14ac:dyDescent="0.3">
      <c r="B10" s="93" t="s">
        <v>147</v>
      </c>
      <c r="C10" s="194">
        <v>62</v>
      </c>
      <c r="D10" s="97" t="s">
        <v>151</v>
      </c>
      <c r="E10" s="97"/>
      <c r="F10" s="97" t="s">
        <v>266</v>
      </c>
      <c r="G10" s="97" t="s">
        <v>62</v>
      </c>
      <c r="H10" s="195">
        <v>9000</v>
      </c>
      <c r="J10" s="89"/>
      <c r="L10" s="90"/>
      <c r="N10" s="89" t="s">
        <v>318</v>
      </c>
      <c r="O10" s="98">
        <v>150</v>
      </c>
      <c r="P10" s="90" t="s">
        <v>165</v>
      </c>
      <c r="W10" s="199"/>
      <c r="X10" s="199"/>
      <c r="Y10" s="199"/>
    </row>
    <row r="11" spans="2:25" x14ac:dyDescent="0.3">
      <c r="J11" s="89" t="s">
        <v>65</v>
      </c>
      <c r="K11" s="201" t="s">
        <v>333</v>
      </c>
      <c r="L11" s="202"/>
      <c r="N11" s="89"/>
      <c r="P11" s="90"/>
      <c r="W11" s="199"/>
      <c r="X11" s="199"/>
      <c r="Y11" s="199"/>
    </row>
    <row r="12" spans="2:25" x14ac:dyDescent="0.3">
      <c r="H12" s="38"/>
      <c r="J12" s="89"/>
      <c r="L12" s="90"/>
      <c r="N12" s="91" t="s">
        <v>166</v>
      </c>
      <c r="O12" s="99"/>
      <c r="P12" s="90"/>
      <c r="W12" s="199"/>
      <c r="X12" s="199"/>
      <c r="Y12" s="199"/>
    </row>
    <row r="13" spans="2:25" x14ac:dyDescent="0.3">
      <c r="B13" s="86" t="s">
        <v>132</v>
      </c>
      <c r="C13" s="87"/>
      <c r="D13" s="88"/>
      <c r="F13" s="86" t="s">
        <v>21</v>
      </c>
      <c r="G13" s="87"/>
      <c r="H13" s="88"/>
      <c r="J13" s="91" t="s">
        <v>4</v>
      </c>
      <c r="L13" s="90"/>
      <c r="N13" s="89" t="s">
        <v>5</v>
      </c>
      <c r="O13" s="98">
        <v>2550</v>
      </c>
      <c r="P13" s="90" t="s">
        <v>165</v>
      </c>
      <c r="W13" s="199"/>
      <c r="X13" s="199"/>
      <c r="Y13" s="199"/>
    </row>
    <row r="14" spans="2:25" x14ac:dyDescent="0.3">
      <c r="B14" s="89"/>
      <c r="D14" s="90"/>
      <c r="F14" s="89"/>
      <c r="H14" s="90"/>
      <c r="J14" s="89" t="s">
        <v>171</v>
      </c>
      <c r="K14" s="29" t="s">
        <v>77</v>
      </c>
      <c r="L14" s="90"/>
      <c r="N14" s="89" t="s">
        <v>137</v>
      </c>
      <c r="O14" s="98">
        <v>3450</v>
      </c>
      <c r="P14" s="90" t="s">
        <v>165</v>
      </c>
      <c r="W14" s="199"/>
      <c r="X14" s="199"/>
      <c r="Y14" s="199"/>
    </row>
    <row r="15" spans="2:25" x14ac:dyDescent="0.3">
      <c r="B15" s="91" t="s">
        <v>136</v>
      </c>
      <c r="D15" s="90"/>
      <c r="F15" s="91" t="s">
        <v>22</v>
      </c>
      <c r="G15" s="145">
        <v>75000</v>
      </c>
      <c r="H15" s="90" t="s">
        <v>23</v>
      </c>
      <c r="J15" s="89" t="s">
        <v>178</v>
      </c>
      <c r="K15" s="29">
        <v>9</v>
      </c>
      <c r="L15" s="90" t="s">
        <v>64</v>
      </c>
      <c r="N15" s="89" t="s">
        <v>138</v>
      </c>
      <c r="O15" s="98">
        <v>4150</v>
      </c>
      <c r="P15" s="90" t="s">
        <v>165</v>
      </c>
    </row>
    <row r="16" spans="2:25" x14ac:dyDescent="0.3">
      <c r="B16" s="89" t="s">
        <v>5</v>
      </c>
      <c r="C16" s="92">
        <v>0.1</v>
      </c>
      <c r="D16" s="90"/>
      <c r="F16" s="89" t="s">
        <v>306</v>
      </c>
      <c r="G16" s="29" t="s">
        <v>77</v>
      </c>
      <c r="H16" s="90"/>
      <c r="J16" s="89" t="s">
        <v>180</v>
      </c>
      <c r="K16" s="98">
        <f>IF(C6&lt;10,650000*0.1*C6,650000)</f>
        <v>455000</v>
      </c>
      <c r="L16" s="90" t="s">
        <v>179</v>
      </c>
      <c r="N16" s="89" t="s">
        <v>139</v>
      </c>
      <c r="O16" s="98">
        <v>4750</v>
      </c>
      <c r="P16" s="90" t="s">
        <v>165</v>
      </c>
    </row>
    <row r="17" spans="2:16" x14ac:dyDescent="0.3">
      <c r="B17" s="89" t="s">
        <v>137</v>
      </c>
      <c r="C17" s="92">
        <v>0.4</v>
      </c>
      <c r="D17" s="90"/>
      <c r="F17" s="89" t="s">
        <v>303</v>
      </c>
      <c r="G17" s="145">
        <v>95000</v>
      </c>
      <c r="H17" s="90" t="s">
        <v>23</v>
      </c>
      <c r="J17" s="89"/>
      <c r="L17" s="90"/>
      <c r="N17" s="89"/>
      <c r="O17" s="99"/>
      <c r="P17" s="90"/>
    </row>
    <row r="18" spans="2:16" x14ac:dyDescent="0.3">
      <c r="B18" s="89" t="s">
        <v>138</v>
      </c>
      <c r="C18" s="92">
        <v>0.45</v>
      </c>
      <c r="D18" s="90"/>
      <c r="F18" s="89" t="s">
        <v>304</v>
      </c>
      <c r="G18" s="145">
        <v>85000</v>
      </c>
      <c r="H18" s="90" t="s">
        <v>23</v>
      </c>
      <c r="J18" s="91" t="s">
        <v>299</v>
      </c>
      <c r="K18" s="158" t="s">
        <v>300</v>
      </c>
      <c r="L18" s="90"/>
      <c r="N18" s="91" t="s">
        <v>167</v>
      </c>
      <c r="O18" s="98">
        <v>11500</v>
      </c>
      <c r="P18" s="90" t="s">
        <v>169</v>
      </c>
    </row>
    <row r="19" spans="2:16" x14ac:dyDescent="0.3">
      <c r="B19" s="89" t="s">
        <v>139</v>
      </c>
      <c r="C19" s="92">
        <v>0.05</v>
      </c>
      <c r="D19" s="90"/>
      <c r="F19" s="89" t="s">
        <v>305</v>
      </c>
      <c r="G19" s="145">
        <v>70000</v>
      </c>
      <c r="H19" s="90" t="s">
        <v>23</v>
      </c>
      <c r="J19" s="39" t="s">
        <v>84</v>
      </c>
      <c r="K19" s="148"/>
      <c r="L19" s="90" t="s">
        <v>181</v>
      </c>
      <c r="N19" s="89" t="s">
        <v>306</v>
      </c>
      <c r="O19" s="29" t="s">
        <v>77</v>
      </c>
      <c r="P19" s="90"/>
    </row>
    <row r="20" spans="2:16" x14ac:dyDescent="0.3">
      <c r="B20" s="89"/>
      <c r="C20" s="169">
        <f>SUM(C16:C19)</f>
        <v>1</v>
      </c>
      <c r="D20" s="90"/>
      <c r="F20" s="89"/>
      <c r="H20" s="90"/>
      <c r="J20" s="39" t="s">
        <v>85</v>
      </c>
      <c r="K20" s="148"/>
      <c r="L20" s="90" t="s">
        <v>181</v>
      </c>
      <c r="N20" s="89" t="s">
        <v>303</v>
      </c>
      <c r="O20" s="98">
        <v>11500</v>
      </c>
      <c r="P20" s="90" t="s">
        <v>169</v>
      </c>
    </row>
    <row r="21" spans="2:16" x14ac:dyDescent="0.3">
      <c r="B21" s="91" t="s">
        <v>140</v>
      </c>
      <c r="D21" s="90"/>
      <c r="F21" s="89"/>
      <c r="H21" s="90"/>
      <c r="J21" s="39" t="s">
        <v>86</v>
      </c>
      <c r="K21" s="148">
        <v>0.15</v>
      </c>
      <c r="L21" s="90" t="s">
        <v>181</v>
      </c>
      <c r="N21" s="89" t="s">
        <v>304</v>
      </c>
      <c r="O21" s="98">
        <v>10750</v>
      </c>
      <c r="P21" s="90" t="s">
        <v>169</v>
      </c>
    </row>
    <row r="22" spans="2:16" x14ac:dyDescent="0.3">
      <c r="B22" s="89" t="s">
        <v>5</v>
      </c>
      <c r="C22" s="29">
        <v>525</v>
      </c>
      <c r="D22" s="90" t="s">
        <v>142</v>
      </c>
      <c r="F22" s="91" t="s">
        <v>154</v>
      </c>
      <c r="H22" s="90"/>
      <c r="J22" s="39" t="s">
        <v>90</v>
      </c>
      <c r="K22" s="148"/>
      <c r="L22" s="90" t="s">
        <v>181</v>
      </c>
      <c r="N22" s="89" t="s">
        <v>305</v>
      </c>
      <c r="O22" s="98">
        <v>10000</v>
      </c>
      <c r="P22" s="90" t="s">
        <v>169</v>
      </c>
    </row>
    <row r="23" spans="2:16" x14ac:dyDescent="0.3">
      <c r="B23" s="89" t="s">
        <v>137</v>
      </c>
      <c r="C23" s="29">
        <v>750</v>
      </c>
      <c r="D23" s="90" t="s">
        <v>142</v>
      </c>
      <c r="F23" s="89" t="s">
        <v>150</v>
      </c>
      <c r="G23" s="98">
        <v>320</v>
      </c>
      <c r="H23" s="90" t="s">
        <v>24</v>
      </c>
      <c r="J23" s="39" t="s">
        <v>92</v>
      </c>
      <c r="K23" s="148"/>
      <c r="L23" s="90" t="s">
        <v>181</v>
      </c>
      <c r="N23" s="89"/>
      <c r="P23" s="90"/>
    </row>
    <row r="24" spans="2:16" x14ac:dyDescent="0.3">
      <c r="B24" s="89" t="s">
        <v>138</v>
      </c>
      <c r="C24" s="29">
        <v>1025</v>
      </c>
      <c r="D24" s="90" t="s">
        <v>142</v>
      </c>
      <c r="F24" s="89" t="s">
        <v>151</v>
      </c>
      <c r="G24" s="98">
        <v>340</v>
      </c>
      <c r="H24" s="90" t="s">
        <v>24</v>
      </c>
      <c r="J24" s="39" t="s">
        <v>94</v>
      </c>
      <c r="K24" s="148"/>
      <c r="L24" s="90" t="s">
        <v>181</v>
      </c>
      <c r="N24" s="182" t="s">
        <v>338</v>
      </c>
      <c r="O24" s="200">
        <v>40</v>
      </c>
      <c r="P24" s="189" t="s">
        <v>24</v>
      </c>
    </row>
    <row r="25" spans="2:16" x14ac:dyDescent="0.3">
      <c r="B25" s="89" t="s">
        <v>139</v>
      </c>
      <c r="C25" s="29">
        <v>1325</v>
      </c>
      <c r="D25" s="90" t="s">
        <v>142</v>
      </c>
      <c r="F25" s="89" t="s">
        <v>152</v>
      </c>
      <c r="G25" s="98">
        <v>375</v>
      </c>
      <c r="H25" s="90" t="s">
        <v>24</v>
      </c>
      <c r="J25" s="89"/>
      <c r="L25" s="90"/>
      <c r="N25" s="186" t="s">
        <v>335</v>
      </c>
      <c r="O25" s="154" t="s">
        <v>77</v>
      </c>
      <c r="P25" s="178"/>
    </row>
    <row r="26" spans="2:16" x14ac:dyDescent="0.3">
      <c r="B26" s="89"/>
      <c r="D26" s="90"/>
      <c r="F26" s="89" t="s">
        <v>327</v>
      </c>
      <c r="G26" s="98">
        <v>300</v>
      </c>
      <c r="H26" s="90" t="s">
        <v>24</v>
      </c>
      <c r="J26" s="182" t="s">
        <v>182</v>
      </c>
      <c r="K26" s="154"/>
      <c r="L26" s="178"/>
      <c r="N26" s="186" t="s">
        <v>336</v>
      </c>
      <c r="O26" s="184">
        <v>40</v>
      </c>
      <c r="P26" s="178" t="s">
        <v>344</v>
      </c>
    </row>
    <row r="27" spans="2:16" x14ac:dyDescent="0.3">
      <c r="B27" s="91" t="s">
        <v>6</v>
      </c>
      <c r="C27" s="92">
        <v>0.15</v>
      </c>
      <c r="D27" s="90"/>
      <c r="F27" s="89"/>
      <c r="H27" s="90"/>
      <c r="J27" s="186" t="s">
        <v>84</v>
      </c>
      <c r="K27" s="187"/>
      <c r="L27" s="178" t="s">
        <v>181</v>
      </c>
      <c r="N27" s="186" t="s">
        <v>337</v>
      </c>
      <c r="O27" s="184">
        <v>35</v>
      </c>
      <c r="P27" s="178" t="s">
        <v>344</v>
      </c>
    </row>
    <row r="28" spans="2:16" x14ac:dyDescent="0.3">
      <c r="B28" s="89"/>
      <c r="D28" s="90"/>
      <c r="F28" s="91" t="s">
        <v>155</v>
      </c>
      <c r="H28" s="90"/>
      <c r="J28" s="186" t="s">
        <v>85</v>
      </c>
      <c r="K28" s="187"/>
      <c r="L28" s="178" t="s">
        <v>181</v>
      </c>
      <c r="N28" s="183" t="s">
        <v>328</v>
      </c>
      <c r="O28" s="185">
        <v>0.3</v>
      </c>
      <c r="P28" s="95"/>
    </row>
    <row r="29" spans="2:16" x14ac:dyDescent="0.3">
      <c r="B29" s="91" t="s">
        <v>14</v>
      </c>
      <c r="C29" s="172">
        <v>0.7</v>
      </c>
      <c r="D29" s="90" t="s">
        <v>141</v>
      </c>
      <c r="E29" s="90"/>
      <c r="F29" s="89" t="s">
        <v>156</v>
      </c>
      <c r="G29" s="98">
        <v>15000</v>
      </c>
      <c r="H29" s="90" t="s">
        <v>25</v>
      </c>
      <c r="J29" s="186" t="s">
        <v>88</v>
      </c>
      <c r="K29" s="187"/>
      <c r="L29" s="178" t="s">
        <v>181</v>
      </c>
    </row>
    <row r="30" spans="2:16" x14ac:dyDescent="0.3">
      <c r="B30" s="89"/>
      <c r="C30" s="139"/>
      <c r="D30" s="90"/>
      <c r="F30" s="89" t="s">
        <v>151</v>
      </c>
      <c r="G30" s="98">
        <v>40000</v>
      </c>
      <c r="H30" s="90" t="s">
        <v>25</v>
      </c>
      <c r="J30" s="186" t="s">
        <v>90</v>
      </c>
      <c r="K30" s="187">
        <v>0.15</v>
      </c>
      <c r="L30" s="178" t="s">
        <v>181</v>
      </c>
      <c r="N30" s="86" t="s">
        <v>102</v>
      </c>
      <c r="O30" s="87"/>
      <c r="P30" s="88"/>
    </row>
    <row r="31" spans="2:16" x14ac:dyDescent="0.3">
      <c r="B31" s="93"/>
      <c r="C31" s="94"/>
      <c r="D31" s="95"/>
      <c r="F31" s="89" t="s">
        <v>266</v>
      </c>
      <c r="G31" s="98">
        <v>75000</v>
      </c>
      <c r="H31" s="90" t="s">
        <v>25</v>
      </c>
      <c r="J31" s="186" t="s">
        <v>92</v>
      </c>
      <c r="K31" s="187"/>
      <c r="L31" s="178" t="s">
        <v>181</v>
      </c>
      <c r="N31" s="89"/>
      <c r="P31" s="90"/>
    </row>
    <row r="32" spans="2:16" x14ac:dyDescent="0.3">
      <c r="F32" s="89"/>
      <c r="H32" s="90"/>
      <c r="J32" s="186" t="s">
        <v>94</v>
      </c>
      <c r="K32" s="187"/>
      <c r="L32" s="178" t="s">
        <v>181</v>
      </c>
      <c r="N32" s="39" t="s">
        <v>9</v>
      </c>
      <c r="O32" s="150">
        <v>6.5000000000000002E-2</v>
      </c>
      <c r="P32" s="90"/>
    </row>
    <row r="33" spans="2:16" x14ac:dyDescent="0.3">
      <c r="B33" s="86" t="s">
        <v>307</v>
      </c>
      <c r="C33" s="87"/>
      <c r="D33" s="88"/>
      <c r="F33" s="91" t="s">
        <v>7</v>
      </c>
      <c r="G33" s="92">
        <v>0.2</v>
      </c>
      <c r="H33" s="90" t="s">
        <v>161</v>
      </c>
      <c r="J33" s="186"/>
      <c r="K33" s="154"/>
      <c r="L33" s="178"/>
      <c r="N33" s="39" t="s">
        <v>10</v>
      </c>
      <c r="O33" s="29">
        <v>30</v>
      </c>
      <c r="P33" s="90"/>
    </row>
    <row r="34" spans="2:16" x14ac:dyDescent="0.3">
      <c r="B34" s="89" t="s">
        <v>310</v>
      </c>
      <c r="C34" s="29">
        <v>20</v>
      </c>
      <c r="D34" s="90" t="s">
        <v>308</v>
      </c>
      <c r="F34" s="89" t="s">
        <v>306</v>
      </c>
      <c r="G34" s="29" t="s">
        <v>77</v>
      </c>
      <c r="H34" s="90"/>
      <c r="J34" s="182" t="s">
        <v>279</v>
      </c>
      <c r="K34" s="154"/>
      <c r="L34" s="178"/>
      <c r="N34" s="39" t="s">
        <v>11</v>
      </c>
      <c r="O34" s="29">
        <v>1.2</v>
      </c>
      <c r="P34" s="90"/>
    </row>
    <row r="35" spans="2:16" x14ac:dyDescent="0.3">
      <c r="B35" s="89" t="s">
        <v>311</v>
      </c>
      <c r="C35" s="29">
        <v>50</v>
      </c>
      <c r="D35" s="90" t="s">
        <v>309</v>
      </c>
      <c r="F35" s="89" t="s">
        <v>303</v>
      </c>
      <c r="G35" s="92">
        <v>0.24</v>
      </c>
      <c r="H35" s="90" t="s">
        <v>161</v>
      </c>
      <c r="J35" s="186" t="s">
        <v>84</v>
      </c>
      <c r="K35" s="169"/>
      <c r="L35" s="178" t="s">
        <v>181</v>
      </c>
      <c r="N35" s="39" t="s">
        <v>12</v>
      </c>
      <c r="O35" s="92">
        <v>0.65</v>
      </c>
      <c r="P35" s="90"/>
    </row>
    <row r="36" spans="2:16" x14ac:dyDescent="0.3">
      <c r="B36" s="93"/>
      <c r="C36" s="38"/>
      <c r="D36" s="95"/>
      <c r="F36" s="89" t="s">
        <v>304</v>
      </c>
      <c r="G36" s="92">
        <v>0.22</v>
      </c>
      <c r="H36" s="90" t="s">
        <v>161</v>
      </c>
      <c r="J36" s="186" t="s">
        <v>85</v>
      </c>
      <c r="K36" s="169"/>
      <c r="L36" s="178" t="s">
        <v>181</v>
      </c>
      <c r="N36" s="39" t="s">
        <v>13</v>
      </c>
      <c r="O36" s="96">
        <v>0.04</v>
      </c>
      <c r="P36" s="90"/>
    </row>
    <row r="37" spans="2:16" x14ac:dyDescent="0.3">
      <c r="F37" s="89" t="s">
        <v>305</v>
      </c>
      <c r="G37" s="92">
        <v>0.2</v>
      </c>
      <c r="H37" s="90" t="s">
        <v>161</v>
      </c>
      <c r="J37" s="186" t="s">
        <v>86</v>
      </c>
      <c r="K37" s="169">
        <v>0.15</v>
      </c>
      <c r="L37" s="178" t="s">
        <v>181</v>
      </c>
      <c r="N37" s="40" t="s">
        <v>174</v>
      </c>
      <c r="O37" s="97">
        <v>10</v>
      </c>
      <c r="P37" s="95"/>
    </row>
    <row r="38" spans="2:16" x14ac:dyDescent="0.3">
      <c r="B38" s="86" t="s">
        <v>173</v>
      </c>
      <c r="C38" s="87"/>
      <c r="D38" s="88"/>
      <c r="F38" s="89"/>
      <c r="H38" s="90"/>
      <c r="J38" s="186" t="s">
        <v>90</v>
      </c>
      <c r="K38" s="169"/>
      <c r="L38" s="178" t="s">
        <v>181</v>
      </c>
    </row>
    <row r="39" spans="2:16" x14ac:dyDescent="0.3">
      <c r="B39" s="89" t="s">
        <v>203</v>
      </c>
      <c r="C39" s="96">
        <v>0.16</v>
      </c>
      <c r="D39" s="90"/>
      <c r="F39" s="91" t="s">
        <v>297</v>
      </c>
      <c r="G39" s="29" t="s">
        <v>62</v>
      </c>
      <c r="H39" s="90"/>
      <c r="J39" s="186" t="s">
        <v>92</v>
      </c>
      <c r="K39" s="169"/>
      <c r="L39" s="178" t="s">
        <v>181</v>
      </c>
      <c r="N39" s="86" t="s">
        <v>302</v>
      </c>
      <c r="O39" s="87"/>
      <c r="P39" s="88"/>
    </row>
    <row r="40" spans="2:16" x14ac:dyDescent="0.3">
      <c r="B40" s="89" t="s">
        <v>204</v>
      </c>
      <c r="C40" s="96">
        <v>5.5E-2</v>
      </c>
      <c r="D40" s="90"/>
      <c r="F40" s="89" t="s">
        <v>298</v>
      </c>
      <c r="G40" s="98">
        <v>1000</v>
      </c>
      <c r="H40" s="90" t="s">
        <v>23</v>
      </c>
      <c r="J40" s="186" t="s">
        <v>94</v>
      </c>
      <c r="K40" s="192">
        <v>2.5000000000000001E-2</v>
      </c>
      <c r="L40" s="178" t="s">
        <v>181</v>
      </c>
      <c r="N40" s="89"/>
      <c r="P40" s="90"/>
    </row>
    <row r="41" spans="2:16" x14ac:dyDescent="0.3">
      <c r="B41" s="93"/>
      <c r="C41" s="38"/>
      <c r="D41" s="95"/>
      <c r="F41" s="89"/>
      <c r="H41" s="90"/>
      <c r="J41" s="186"/>
      <c r="K41" s="154"/>
      <c r="L41" s="178"/>
      <c r="N41" s="89" t="s">
        <v>5</v>
      </c>
      <c r="O41" s="98">
        <v>450000</v>
      </c>
      <c r="P41" s="90"/>
    </row>
    <row r="42" spans="2:16" x14ac:dyDescent="0.3">
      <c r="F42" s="197"/>
      <c r="G42" s="198"/>
      <c r="H42" s="87"/>
      <c r="J42" s="188" t="s">
        <v>280</v>
      </c>
      <c r="K42" s="1"/>
      <c r="L42" s="189"/>
      <c r="N42" s="89" t="s">
        <v>137</v>
      </c>
      <c r="O42" s="151">
        <v>625000</v>
      </c>
      <c r="P42" s="90"/>
    </row>
    <row r="43" spans="2:16" x14ac:dyDescent="0.3">
      <c r="B43" s="154" t="s">
        <v>156</v>
      </c>
      <c r="J43" s="39" t="s">
        <v>84</v>
      </c>
      <c r="K43" s="191"/>
      <c r="L43" s="189" t="s">
        <v>181</v>
      </c>
      <c r="N43" s="89" t="s">
        <v>138</v>
      </c>
      <c r="O43" s="151">
        <v>775000</v>
      </c>
      <c r="P43" s="90"/>
    </row>
    <row r="44" spans="2:16" x14ac:dyDescent="0.3">
      <c r="B44" s="154" t="s">
        <v>284</v>
      </c>
      <c r="G44" s="196"/>
      <c r="J44" s="39" t="s">
        <v>85</v>
      </c>
      <c r="K44" s="191"/>
      <c r="L44" s="189" t="s">
        <v>181</v>
      </c>
      <c r="N44" s="89" t="s">
        <v>139</v>
      </c>
      <c r="O44" s="151">
        <v>925000</v>
      </c>
      <c r="P44" s="90"/>
    </row>
    <row r="45" spans="2:16" x14ac:dyDescent="0.3">
      <c r="B45" s="154" t="s">
        <v>151</v>
      </c>
      <c r="G45" s="196"/>
      <c r="J45" s="39" t="s">
        <v>86</v>
      </c>
      <c r="K45" s="191"/>
      <c r="L45" s="189" t="s">
        <v>181</v>
      </c>
      <c r="N45" s="89"/>
      <c r="P45" s="90"/>
    </row>
    <row r="46" spans="2:16" x14ac:dyDescent="0.3">
      <c r="B46" s="154" t="s">
        <v>266</v>
      </c>
      <c r="G46" s="196"/>
      <c r="J46" s="39" t="s">
        <v>90</v>
      </c>
      <c r="K46" s="191">
        <v>0.1</v>
      </c>
      <c r="L46" s="189" t="s">
        <v>181</v>
      </c>
      <c r="N46" s="89" t="s">
        <v>301</v>
      </c>
      <c r="O46" s="96">
        <v>7.0000000000000007E-2</v>
      </c>
      <c r="P46" s="90"/>
    </row>
    <row r="47" spans="2:16" x14ac:dyDescent="0.3">
      <c r="J47" s="39" t="s">
        <v>92</v>
      </c>
      <c r="K47" s="191"/>
      <c r="L47" s="189" t="s">
        <v>181</v>
      </c>
      <c r="N47" s="89"/>
      <c r="P47" s="90"/>
    </row>
    <row r="48" spans="2:16" x14ac:dyDescent="0.3">
      <c r="J48" s="40" t="s">
        <v>94</v>
      </c>
      <c r="K48" s="193">
        <v>7.4999999999999997E-2</v>
      </c>
      <c r="L48" s="190" t="s">
        <v>181</v>
      </c>
      <c r="N48" s="89" t="s">
        <v>287</v>
      </c>
      <c r="O48" s="29">
        <v>20</v>
      </c>
      <c r="P48" s="90" t="s">
        <v>288</v>
      </c>
    </row>
    <row r="49" spans="14:16" x14ac:dyDescent="0.3">
      <c r="N49" s="89" t="s">
        <v>306</v>
      </c>
      <c r="O49" s="29" t="s">
        <v>77</v>
      </c>
      <c r="P49" s="90"/>
    </row>
    <row r="50" spans="14:16" x14ac:dyDescent="0.3">
      <c r="N50" s="89" t="s">
        <v>303</v>
      </c>
      <c r="O50" s="29">
        <v>10</v>
      </c>
      <c r="P50" s="90" t="s">
        <v>288</v>
      </c>
    </row>
    <row r="51" spans="14:16" x14ac:dyDescent="0.3">
      <c r="N51" s="89" t="s">
        <v>304</v>
      </c>
      <c r="O51" s="29">
        <v>16</v>
      </c>
      <c r="P51" s="90" t="s">
        <v>288</v>
      </c>
    </row>
    <row r="52" spans="14:16" x14ac:dyDescent="0.3">
      <c r="N52" s="93" t="s">
        <v>305</v>
      </c>
      <c r="O52" s="97">
        <v>20</v>
      </c>
      <c r="P52" s="95" t="s">
        <v>288</v>
      </c>
    </row>
  </sheetData>
  <scenarios current="0" show="0" sqref="D1:D2">
    <scenario name="1" locked="1" count="1" user="Smith, Alexis" comment="Created by Smith, Alexis on 12/29/2023">
      <inputCells r="C6" val="6"/>
    </scenario>
    <scenario name="2" locked="1" count="1" user="Smith, Alexis" comment="Created by Smith, Alexis on 12/29/2023">
      <inputCells r="C6" val="12"/>
    </scenario>
    <scenario name="3" locked="1" count="1" user="Smith, Alexis" comment="Created by Smith, Alexis on 12/29/2023">
      <inputCells r="C6" val="20"/>
    </scenario>
    <scenario name="4" locked="1" count="1" user="Smith, Alexis" comment="Created by Smith, Alexis on 12/29/2023">
      <inputCells r="C6" val="35"/>
    </scenario>
    <scenario name="5" locked="1" count="1" user="Smith, Alexis" comment="Created by Smith, Alexis on 12/29/2023">
      <inputCells r="C6" val="75"/>
    </scenario>
  </scenarios>
  <mergeCells count="1">
    <mergeCell ref="K11:L11"/>
  </mergeCells>
  <conditionalFormatting sqref="C20">
    <cfRule type="cellIs" dxfId="51" priority="79" operator="notEqual">
      <formula>1</formula>
    </cfRule>
  </conditionalFormatting>
  <conditionalFormatting sqref="F17:H19">
    <cfRule type="expression" dxfId="50" priority="50">
      <formula>$G$16="No"</formula>
    </cfRule>
  </conditionalFormatting>
  <conditionalFormatting sqref="F35:H37">
    <cfRule type="expression" dxfId="49" priority="59">
      <formula>$G$34="No"</formula>
    </cfRule>
  </conditionalFormatting>
  <conditionalFormatting sqref="F40:H40">
    <cfRule type="expression" dxfId="48" priority="68">
      <formula>$G$39="No"</formula>
    </cfRule>
  </conditionalFormatting>
  <conditionalFormatting sqref="G15:H15">
    <cfRule type="expression" dxfId="47" priority="49">
      <formula>$G$16="Yes"</formula>
    </cfRule>
  </conditionalFormatting>
  <conditionalFormatting sqref="G33:H33">
    <cfRule type="expression" dxfId="46" priority="60">
      <formula>$G$34="Yes"</formula>
    </cfRule>
  </conditionalFormatting>
  <conditionalFormatting sqref="H6">
    <cfRule type="expression" dxfId="45" priority="37">
      <formula>$G$6="Yes"</formula>
    </cfRule>
  </conditionalFormatting>
  <conditionalFormatting sqref="H7">
    <cfRule type="expression" dxfId="44" priority="36">
      <formula>$G$7="Yes"</formula>
    </cfRule>
  </conditionalFormatting>
  <conditionalFormatting sqref="H8">
    <cfRule type="expression" dxfId="42" priority="32">
      <formula>$G$8="Yes"</formula>
    </cfRule>
  </conditionalFormatting>
  <conditionalFormatting sqref="H9">
    <cfRule type="expression" dxfId="41" priority="21">
      <formula>$G$9="Yes"</formula>
    </cfRule>
  </conditionalFormatting>
  <conditionalFormatting sqref="H10">
    <cfRule type="expression" dxfId="40" priority="20">
      <formula>$G$10="Yes"</formula>
    </cfRule>
  </conditionalFormatting>
  <conditionalFormatting sqref="J8:L8">
    <cfRule type="expression" dxfId="39" priority="70">
      <formula>$K$7="No"</formula>
    </cfRule>
  </conditionalFormatting>
  <conditionalFormatting sqref="J15:L16">
    <cfRule type="expression" dxfId="38" priority="69">
      <formula>$K$14="No"</formula>
    </cfRule>
  </conditionalFormatting>
  <conditionalFormatting sqref="J26:L32">
    <cfRule type="expression" dxfId="37" priority="28">
      <formula>$K$9="Yes"</formula>
    </cfRule>
  </conditionalFormatting>
  <conditionalFormatting sqref="J34:L40">
    <cfRule type="expression" dxfId="36" priority="26">
      <formula>$K$7="Yes"</formula>
    </cfRule>
  </conditionalFormatting>
  <conditionalFormatting sqref="J42:L48">
    <cfRule type="expression" dxfId="35" priority="22">
      <formula>$K$9="No"</formula>
    </cfRule>
    <cfRule type="expression" dxfId="34" priority="23">
      <formula>$K$7="No"</formula>
    </cfRule>
  </conditionalFormatting>
  <conditionalFormatting sqref="K27:K32">
    <cfRule type="expression" dxfId="33" priority="27">
      <formula>$K$9="Yes"</formula>
    </cfRule>
  </conditionalFormatting>
  <conditionalFormatting sqref="K35:K40">
    <cfRule type="expression" dxfId="32" priority="25">
      <formula>$K$7="Yes"</formula>
    </cfRule>
  </conditionalFormatting>
  <conditionalFormatting sqref="N24:O24">
    <cfRule type="expression" dxfId="31" priority="2">
      <formula>$G$6="No"</formula>
    </cfRule>
  </conditionalFormatting>
  <conditionalFormatting sqref="N25:O25 N28:P28 N24">
    <cfRule type="expression" dxfId="30" priority="6">
      <formula>$G$6="Yes"</formula>
    </cfRule>
  </conditionalFormatting>
  <conditionalFormatting sqref="N9:P10">
    <cfRule type="expression" dxfId="29" priority="46">
      <formula>$O$8="No"</formula>
    </cfRule>
  </conditionalFormatting>
  <conditionalFormatting sqref="N20:P22">
    <cfRule type="expression" dxfId="28" priority="64">
      <formula>$O$19="No"</formula>
    </cfRule>
  </conditionalFormatting>
  <conditionalFormatting sqref="N25:P28">
    <cfRule type="expression" dxfId="27" priority="3">
      <formula>$G$6="No"</formula>
    </cfRule>
  </conditionalFormatting>
  <conditionalFormatting sqref="N26:P27">
    <cfRule type="expression" dxfId="26" priority="7">
      <formula>$O$25="Yes"</formula>
    </cfRule>
    <cfRule type="expression" dxfId="25" priority="11">
      <formula>$O$25="No"</formula>
    </cfRule>
  </conditionalFormatting>
  <conditionalFormatting sqref="N50:P52">
    <cfRule type="expression" dxfId="24" priority="47">
      <formula>$O$49="No"</formula>
    </cfRule>
  </conditionalFormatting>
  <conditionalFormatting sqref="O7">
    <cfRule type="expression" dxfId="23" priority="43">
      <formula>$O$8="Yes"</formula>
    </cfRule>
  </conditionalFormatting>
  <conditionalFormatting sqref="O9:O10">
    <cfRule type="expression" dxfId="22" priority="44">
      <formula>$O$8="No"</formula>
    </cfRule>
  </conditionalFormatting>
  <conditionalFormatting sqref="O24">
    <cfRule type="expression" dxfId="21" priority="4">
      <formula>$O$25="Yes"</formula>
    </cfRule>
  </conditionalFormatting>
  <conditionalFormatting sqref="O25 O28">
    <cfRule type="expression" dxfId="20" priority="9">
      <formula>$G$6="Yes"</formula>
    </cfRule>
  </conditionalFormatting>
  <conditionalFormatting sqref="O26:O27">
    <cfRule type="expression" dxfId="19" priority="8">
      <formula>$O$25="Yes"</formula>
    </cfRule>
  </conditionalFormatting>
  <conditionalFormatting sqref="O7:P7">
    <cfRule type="expression" dxfId="18" priority="45">
      <formula>$O$8="Yes"</formula>
    </cfRule>
  </conditionalFormatting>
  <conditionalFormatting sqref="O18:P18">
    <cfRule type="expression" dxfId="17" priority="65">
      <formula>$O$19="Yes"</formula>
    </cfRule>
  </conditionalFormatting>
  <conditionalFormatting sqref="O24:P24">
    <cfRule type="expression" dxfId="16" priority="5">
      <formula>$O$25="Yes"</formula>
    </cfRule>
  </conditionalFormatting>
  <conditionalFormatting sqref="O48:P48">
    <cfRule type="expression" dxfId="15" priority="48">
      <formula>$O$49="Yes"</formula>
    </cfRule>
  </conditionalFormatting>
  <conditionalFormatting sqref="P24">
    <cfRule type="expression" dxfId="14" priority="1">
      <formula>$G$6="No"</formula>
    </cfRule>
  </conditionalFormatting>
  <dataValidations count="2">
    <dataValidation type="list" allowBlank="1" showInputMessage="1" showErrorMessage="1" sqref="D6:E10" xr:uid="{94030E40-D5F2-6C49-8CE3-2EED84C730AD}">
      <formula1>$F$23:$F$25</formula1>
    </dataValidation>
    <dataValidation type="list" allowBlank="1" showInputMessage="1" showErrorMessage="1" sqref="F6:F10" xr:uid="{CA553AA4-A1F7-4228-BED8-B857EEAFB7CB}">
      <formula1>$B$43:$B$46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C75BF4F-0E2A-3F45-A9F0-6DFB08E7A775}">
          <x14:formula1>
            <xm:f>'IZ Units'!$A$26:$A$27</xm:f>
          </x14:formula1>
          <xm:sqref>K7 K14 K9 G39 O19 G43 G34 G16 O49 O8 O25 G6:G10</xm:sqref>
        </x14:dataValidation>
        <x14:dataValidation type="list" allowBlank="1" showInputMessage="1" showErrorMessage="1" xr:uid="{7AD85FE0-E1C6-874D-BE0A-2553643E1A39}">
          <x14:formula1>
            <xm:f>'IZ Units'!$B$26:$B$29</xm:f>
          </x14:formula1>
          <xm:sqref>K11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BF14-C856-46E1-836D-B4B3A8C8B726}">
  <dimension ref="A1:K23"/>
  <sheetViews>
    <sheetView zoomScale="85" zoomScaleNormal="85" workbookViewId="0">
      <selection activeCell="K22" sqref="K22"/>
    </sheetView>
  </sheetViews>
  <sheetFormatPr defaultColWidth="8.88671875" defaultRowHeight="14.4" x14ac:dyDescent="0.3"/>
  <cols>
    <col min="1" max="1" width="12.88671875" style="1" customWidth="1"/>
    <col min="2" max="7" width="8.88671875" style="1"/>
    <col min="8" max="8" width="12.77734375" style="1" bestFit="1" customWidth="1"/>
    <col min="9" max="16384" width="8.88671875" style="1"/>
  </cols>
  <sheetData>
    <row r="1" spans="1:8" x14ac:dyDescent="0.3">
      <c r="A1" s="21"/>
    </row>
    <row r="3" spans="1:8" x14ac:dyDescent="0.3">
      <c r="A3" s="21" t="s">
        <v>135</v>
      </c>
      <c r="B3" s="21">
        <f>Assumptions!C6</f>
        <v>7</v>
      </c>
      <c r="D3" s="42"/>
      <c r="E3" s="42"/>
    </row>
    <row r="4" spans="1:8" x14ac:dyDescent="0.3">
      <c r="A4" s="21" t="s">
        <v>274</v>
      </c>
      <c r="B4" s="21" t="str">
        <f>Assumptions!D6</f>
        <v>Wood frame</v>
      </c>
      <c r="D4" s="42"/>
      <c r="E4" s="42"/>
    </row>
    <row r="5" spans="1:8" x14ac:dyDescent="0.3">
      <c r="B5" s="48"/>
    </row>
    <row r="6" spans="1:8" x14ac:dyDescent="0.3">
      <c r="B6" s="1" t="s">
        <v>136</v>
      </c>
      <c r="C6" s="1" t="s">
        <v>15</v>
      </c>
      <c r="D6" s="1" t="s">
        <v>140</v>
      </c>
      <c r="E6" s="1" t="s">
        <v>143</v>
      </c>
    </row>
    <row r="7" spans="1:8" x14ac:dyDescent="0.3">
      <c r="A7" s="1" t="s">
        <v>5</v>
      </c>
      <c r="B7" s="5">
        <f>Assumptions!C$16</f>
        <v>0.1</v>
      </c>
      <c r="C7" s="1">
        <f>ROUND(B7*B3,0)</f>
        <v>1</v>
      </c>
      <c r="D7" s="2">
        <f>Assumptions!C$22</f>
        <v>525</v>
      </c>
      <c r="E7" s="2">
        <f>D7*C7</f>
        <v>525</v>
      </c>
      <c r="F7" s="2"/>
      <c r="G7" s="49"/>
      <c r="H7" s="50"/>
    </row>
    <row r="8" spans="1:8" x14ac:dyDescent="0.3">
      <c r="A8" s="1" t="s">
        <v>137</v>
      </c>
      <c r="B8" s="5">
        <f>Assumptions!C$17</f>
        <v>0.4</v>
      </c>
      <c r="C8" s="1">
        <f>ROUND(B8*B3,0)</f>
        <v>3</v>
      </c>
      <c r="D8" s="2">
        <f>Assumptions!C$23</f>
        <v>750</v>
      </c>
      <c r="E8" s="2">
        <f>D8*C8</f>
        <v>2250</v>
      </c>
      <c r="F8" s="2"/>
      <c r="G8" s="49"/>
      <c r="H8" s="50"/>
    </row>
    <row r="9" spans="1:8" x14ac:dyDescent="0.3">
      <c r="A9" s="1" t="s">
        <v>138</v>
      </c>
      <c r="B9" s="5">
        <f>Assumptions!C$18</f>
        <v>0.45</v>
      </c>
      <c r="C9" s="1">
        <f>B3-C7-C8-C10</f>
        <v>3</v>
      </c>
      <c r="D9" s="2">
        <f>Assumptions!C$24</f>
        <v>1025</v>
      </c>
      <c r="E9" s="2">
        <f>D9*C9</f>
        <v>3075</v>
      </c>
      <c r="F9" s="2"/>
      <c r="G9" s="49"/>
      <c r="H9" s="50"/>
    </row>
    <row r="10" spans="1:8" x14ac:dyDescent="0.3">
      <c r="A10" s="1" t="s">
        <v>139</v>
      </c>
      <c r="B10" s="5">
        <f>Assumptions!C$19</f>
        <v>0.05</v>
      </c>
      <c r="C10" s="1">
        <f>ROUND(B10*B3,0)</f>
        <v>0</v>
      </c>
      <c r="D10" s="2">
        <f>Assumptions!C$25</f>
        <v>1325</v>
      </c>
      <c r="E10" s="2">
        <f>D10*C10</f>
        <v>0</v>
      </c>
      <c r="F10" s="2"/>
      <c r="G10" s="49"/>
      <c r="H10" s="50"/>
    </row>
    <row r="11" spans="1:8" x14ac:dyDescent="0.3">
      <c r="B11" s="28">
        <f>SUM(B7:B10)</f>
        <v>1</v>
      </c>
      <c r="C11" s="28">
        <f>SUM(C7:C10)</f>
        <v>7</v>
      </c>
      <c r="D11" s="2"/>
      <c r="E11" s="41">
        <f>SUM(E7:E10)</f>
        <v>5850</v>
      </c>
      <c r="F11" s="41"/>
      <c r="G11" s="41"/>
    </row>
    <row r="12" spans="1:8" x14ac:dyDescent="0.3">
      <c r="A12" s="1" t="s">
        <v>20</v>
      </c>
      <c r="B12" s="5">
        <f>Assumptions!C$27</f>
        <v>0.15</v>
      </c>
      <c r="E12" s="44">
        <f>E11*B12</f>
        <v>877.5</v>
      </c>
      <c r="F12" s="44"/>
      <c r="G12" s="44"/>
    </row>
    <row r="13" spans="1:8" x14ac:dyDescent="0.3">
      <c r="A13" s="21" t="s">
        <v>160</v>
      </c>
      <c r="B13" s="21"/>
      <c r="C13" s="21"/>
      <c r="D13" s="21"/>
      <c r="E13" s="45">
        <f>E11+E12</f>
        <v>6727.5</v>
      </c>
      <c r="F13" s="45"/>
      <c r="G13" s="45"/>
      <c r="H13" s="53">
        <f>E13*85/B3</f>
        <v>81691.071428571435</v>
      </c>
    </row>
    <row r="14" spans="1:8" x14ac:dyDescent="0.3">
      <c r="A14" s="21"/>
      <c r="B14" s="21"/>
      <c r="C14" s="21"/>
      <c r="D14" s="21"/>
      <c r="E14" s="45"/>
      <c r="F14" s="45"/>
      <c r="G14" s="45"/>
    </row>
    <row r="15" spans="1:8" x14ac:dyDescent="0.3">
      <c r="A15" s="21" t="s">
        <v>323</v>
      </c>
      <c r="B15" s="21"/>
      <c r="C15" s="21"/>
      <c r="D15" s="21"/>
      <c r="E15" s="45">
        <f>IF(Assumptions!G6="No",0,Assumptions!H6)</f>
        <v>0</v>
      </c>
      <c r="F15" s="45"/>
      <c r="G15" s="45"/>
    </row>
    <row r="17" spans="1:11" x14ac:dyDescent="0.3">
      <c r="A17" s="21" t="s">
        <v>144</v>
      </c>
      <c r="E17" s="47">
        <f>(ROUND(B3*Assumptions!C$29,0))</f>
        <v>5</v>
      </c>
    </row>
    <row r="18" spans="1:11" x14ac:dyDescent="0.3">
      <c r="A18" s="21" t="s">
        <v>282</v>
      </c>
      <c r="E18" s="47" t="str">
        <f>Assumptions!F6</f>
        <v>Surface</v>
      </c>
    </row>
    <row r="19" spans="1:11" x14ac:dyDescent="0.3">
      <c r="E19" s="47"/>
    </row>
    <row r="20" spans="1:11" x14ac:dyDescent="0.3">
      <c r="A20" s="1" t="s">
        <v>145</v>
      </c>
      <c r="E20" s="1">
        <f>IF(E18="Surface",E17,IF(E18="Mix surface/podium",E17*0.5,0))</f>
        <v>5</v>
      </c>
    </row>
    <row r="21" spans="1:11" x14ac:dyDescent="0.3">
      <c r="A21" s="1" t="s">
        <v>146</v>
      </c>
      <c r="E21" s="1">
        <f>IF(E18="Podium",E17,IF(E18="Mix surface/podium",E17*0.5,0))</f>
        <v>0</v>
      </c>
      <c r="K21" s="44"/>
    </row>
    <row r="22" spans="1:11" x14ac:dyDescent="0.3">
      <c r="A22" s="1" t="s">
        <v>283</v>
      </c>
      <c r="E22" s="1">
        <f>IF(E18="Underground",E17,0)</f>
        <v>0</v>
      </c>
    </row>
    <row r="23" spans="1:11" x14ac:dyDescent="0.3">
      <c r="E23" s="1">
        <f>E17-SUM(E20:E22)</f>
        <v>0</v>
      </c>
    </row>
  </sheetData>
  <conditionalFormatting sqref="B11">
    <cfRule type="cellIs" dxfId="13" priority="12" operator="notEqual">
      <formula>1</formula>
    </cfRule>
  </conditionalFormatting>
  <conditionalFormatting sqref="E23">
    <cfRule type="cellIs" dxfId="11" priority="1" operator="notEqual">
      <formula>0</formula>
    </cfRule>
    <cfRule type="cellIs" dxfId="10" priority="2"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1" operator="notEqual" id="{D779A29D-42AB-CC49-9CE0-57253F038A15}">
            <xm:f>Assumptions!$C$6</xm:f>
            <x14:dxf>
              <font>
                <color rgb="FF9C0006"/>
              </font>
              <fill>
                <patternFill>
                  <bgColor rgb="FFFFC7CE"/>
                </patternFill>
              </fill>
            </x14:dxf>
          </x14:cfRule>
          <xm:sqref>C11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7412-7328-4257-927C-CA1AC7CE43A7}">
  <dimension ref="A1:F35"/>
  <sheetViews>
    <sheetView topLeftCell="A15" zoomScale="85" zoomScaleNormal="85" workbookViewId="0">
      <selection activeCell="F8" sqref="F8"/>
    </sheetView>
  </sheetViews>
  <sheetFormatPr defaultColWidth="8.88671875" defaultRowHeight="14.4" x14ac:dyDescent="0.3"/>
  <cols>
    <col min="1" max="1" width="24.88671875" style="1" customWidth="1"/>
    <col min="2" max="2" width="12.88671875" style="22" customWidth="1"/>
    <col min="3" max="3" width="10.44140625" style="1" customWidth="1"/>
    <col min="4" max="4" width="8.6640625" style="1" customWidth="1"/>
    <col min="5" max="5" width="8.88671875" style="1"/>
    <col min="6" max="6" width="11.21875" style="1" bestFit="1" customWidth="1"/>
    <col min="7" max="16384" width="8.88671875" style="1"/>
  </cols>
  <sheetData>
    <row r="1" spans="1:6" x14ac:dyDescent="0.3">
      <c r="A1" s="21" t="s">
        <v>134</v>
      </c>
    </row>
    <row r="2" spans="1:6" x14ac:dyDescent="0.3">
      <c r="A2" s="21"/>
    </row>
    <row r="3" spans="1:6" x14ac:dyDescent="0.3">
      <c r="A3" s="1" t="s">
        <v>135</v>
      </c>
      <c r="B3" s="67">
        <f>Assumptions!C6</f>
        <v>7</v>
      </c>
      <c r="F3" s="67"/>
    </row>
    <row r="4" spans="1:6" x14ac:dyDescent="0.3">
      <c r="A4" s="1" t="s">
        <v>22</v>
      </c>
      <c r="B4" s="22">
        <f>IF(Assumptions!G16="No",Assumptions!G15,IF(Assumptions!G16="Yes",IF(Assumptions!C6&lt;Assumptions!C34,Assumptions!G17,IF(Assumptions!C6&gt;Assumptions!C35,Assumptions!G19,Assumptions!G18))))</f>
        <v>95000</v>
      </c>
      <c r="C4" s="1" t="s">
        <v>23</v>
      </c>
      <c r="D4" s="4"/>
    </row>
    <row r="5" spans="1:6" x14ac:dyDescent="0.3">
      <c r="A5" s="21" t="s">
        <v>148</v>
      </c>
      <c r="B5" s="54">
        <f>B4*B3</f>
        <v>665000</v>
      </c>
      <c r="D5" s="4"/>
    </row>
    <row r="6" spans="1:6" x14ac:dyDescent="0.3">
      <c r="D6" s="4"/>
    </row>
    <row r="7" spans="1:6" x14ac:dyDescent="0.3">
      <c r="A7" s="1" t="s">
        <v>159</v>
      </c>
      <c r="B7" s="55">
        <f>'Dev Program'!E13</f>
        <v>6727.5</v>
      </c>
      <c r="F7" s="53">
        <f>B7*85</f>
        <v>571837.5</v>
      </c>
    </row>
    <row r="8" spans="1:6" x14ac:dyDescent="0.3">
      <c r="A8" s="1" t="s">
        <v>3</v>
      </c>
      <c r="B8" s="55" t="str">
        <f>Assumptions!$D6</f>
        <v>Wood frame</v>
      </c>
      <c r="F8" s="53">
        <f>F7/B3</f>
        <v>81691.071428571435</v>
      </c>
    </row>
    <row r="9" spans="1:6" x14ac:dyDescent="0.3">
      <c r="A9" s="1" t="s">
        <v>153</v>
      </c>
      <c r="B9" s="56">
        <f>IF(B8=Assumptions!$F$23,Assumptions!$G$23,IF(B8=Assumptions!$F$24,Assumptions!$G$24,IF(B8=Assumptions!$F$25,Assumptions!$G$25,0)))</f>
        <v>320</v>
      </c>
    </row>
    <row r="10" spans="1:6" x14ac:dyDescent="0.3">
      <c r="A10" s="21" t="s">
        <v>162</v>
      </c>
      <c r="B10" s="58">
        <f>B9*B7</f>
        <v>2152800</v>
      </c>
    </row>
    <row r="11" spans="1:6" x14ac:dyDescent="0.3">
      <c r="A11" s="21"/>
      <c r="B11" s="58"/>
    </row>
    <row r="12" spans="1:6" x14ac:dyDescent="0.3">
      <c r="A12" s="1" t="s">
        <v>324</v>
      </c>
      <c r="B12" s="181">
        <f>'Dev Program'!E15</f>
        <v>0</v>
      </c>
    </row>
    <row r="13" spans="1:6" x14ac:dyDescent="0.3">
      <c r="A13" s="1" t="s">
        <v>153</v>
      </c>
      <c r="B13" s="56">
        <f>Assumptions!G26</f>
        <v>300</v>
      </c>
    </row>
    <row r="14" spans="1:6" x14ac:dyDescent="0.3">
      <c r="A14" s="21" t="s">
        <v>325</v>
      </c>
      <c r="B14" s="58">
        <f>B12*B13</f>
        <v>0</v>
      </c>
    </row>
    <row r="15" spans="1:6" x14ac:dyDescent="0.3">
      <c r="B15" s="56"/>
    </row>
    <row r="16" spans="1:6" x14ac:dyDescent="0.3">
      <c r="A16" s="1" t="s">
        <v>157</v>
      </c>
      <c r="B16" s="56">
        <f>Assumptions!$G$29</f>
        <v>15000</v>
      </c>
      <c r="C16" s="1" t="s">
        <v>25</v>
      </c>
      <c r="D16" s="5"/>
    </row>
    <row r="17" spans="1:4" x14ac:dyDescent="0.3">
      <c r="A17" s="1" t="s">
        <v>145</v>
      </c>
      <c r="B17" s="59">
        <f>'Dev Program'!E20</f>
        <v>5</v>
      </c>
      <c r="D17" s="5"/>
    </row>
    <row r="18" spans="1:4" x14ac:dyDescent="0.3">
      <c r="A18" s="1" t="s">
        <v>158</v>
      </c>
      <c r="B18" s="56">
        <f>Assumptions!$G$30</f>
        <v>40000</v>
      </c>
      <c r="C18" s="1" t="s">
        <v>25</v>
      </c>
      <c r="D18" s="61"/>
    </row>
    <row r="19" spans="1:4" x14ac:dyDescent="0.3">
      <c r="A19" s="1" t="s">
        <v>146</v>
      </c>
      <c r="B19" s="59">
        <f>'Dev Program'!E21</f>
        <v>0</v>
      </c>
      <c r="C19" s="28"/>
      <c r="D19" s="61"/>
    </row>
    <row r="20" spans="1:4" x14ac:dyDescent="0.3">
      <c r="A20" s="1" t="s">
        <v>285</v>
      </c>
      <c r="B20" s="56">
        <f>Assumptions!$G$31</f>
        <v>75000</v>
      </c>
      <c r="C20" s="1" t="s">
        <v>25</v>
      </c>
      <c r="D20" s="61"/>
    </row>
    <row r="21" spans="1:4" x14ac:dyDescent="0.3">
      <c r="A21" s="1" t="s">
        <v>146</v>
      </c>
      <c r="B21" s="59">
        <f>'Dev Program'!E22</f>
        <v>0</v>
      </c>
      <c r="C21" s="28">
        <f>B19+B21+B17-'Dev Program'!E17</f>
        <v>0</v>
      </c>
      <c r="D21" s="61"/>
    </row>
    <row r="22" spans="1:4" x14ac:dyDescent="0.3">
      <c r="A22" s="21" t="s">
        <v>163</v>
      </c>
      <c r="B22" s="60">
        <f>(B16*B17)+(B18*B19)+(B20*B21)</f>
        <v>75000</v>
      </c>
    </row>
    <row r="23" spans="1:4" x14ac:dyDescent="0.3">
      <c r="B23" s="27"/>
    </row>
    <row r="24" spans="1:4" x14ac:dyDescent="0.3">
      <c r="A24" s="21" t="s">
        <v>26</v>
      </c>
      <c r="B24" s="60">
        <f>B10+B14+B22</f>
        <v>2227800</v>
      </c>
    </row>
    <row r="26" spans="1:4" x14ac:dyDescent="0.3">
      <c r="A26" s="1" t="s">
        <v>7</v>
      </c>
      <c r="B26" s="5">
        <f>IF(Assumptions!G34="No",Assumptions!G33,IF(Assumptions!C6&lt;Assumptions!C34,Assumptions!G35,IF(Assumptions!C6&gt;Assumptions!C35,Assumptions!G37,Assumptions!G36)))</f>
        <v>0.24</v>
      </c>
    </row>
    <row r="27" spans="1:4" x14ac:dyDescent="0.3">
      <c r="A27" s="21" t="s">
        <v>27</v>
      </c>
      <c r="B27" s="60">
        <f>B26*B24</f>
        <v>534672</v>
      </c>
    </row>
    <row r="28" spans="1:4" x14ac:dyDescent="0.3">
      <c r="A28" s="21"/>
      <c r="B28" s="60"/>
    </row>
    <row r="29" spans="1:4" x14ac:dyDescent="0.3">
      <c r="A29" s="1" t="s">
        <v>190</v>
      </c>
      <c r="B29" s="22">
        <f>B5+B24+B27</f>
        <v>3427472</v>
      </c>
    </row>
    <row r="30" spans="1:4" x14ac:dyDescent="0.3">
      <c r="A30" s="1" t="s">
        <v>28</v>
      </c>
      <c r="B30" s="22">
        <f>'IZ Units'!$P$5+'IZ Units'!$P$8</f>
        <v>477750</v>
      </c>
    </row>
    <row r="31" spans="1:4" x14ac:dyDescent="0.3">
      <c r="A31" s="1" t="s">
        <v>297</v>
      </c>
      <c r="B31" s="22">
        <f>IF(Assumptions!G39="Yes",Assumptions!G40*'Dev Costs'!B3,0)</f>
        <v>0</v>
      </c>
    </row>
    <row r="33" spans="1:3" x14ac:dyDescent="0.3">
      <c r="A33" s="21" t="s">
        <v>29</v>
      </c>
      <c r="B33" s="62">
        <f>B29+B30+B31</f>
        <v>3905222</v>
      </c>
      <c r="C33" s="3"/>
    </row>
    <row r="34" spans="1:3" x14ac:dyDescent="0.3">
      <c r="A34" s="21" t="s">
        <v>184</v>
      </c>
      <c r="B34" s="54">
        <f>B33/Assumptions!$C6</f>
        <v>557888.85714285716</v>
      </c>
    </row>
    <row r="35" spans="1:3" x14ac:dyDescent="0.3">
      <c r="A35" s="1" t="s">
        <v>205</v>
      </c>
      <c r="B35" s="22">
        <f>B33/B7</f>
        <v>580.48636194723156</v>
      </c>
    </row>
  </sheetData>
  <conditionalFormatting sqref="C19 C21">
    <cfRule type="cellIs" dxfId="9" priority="10" operator="not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0A8A-7423-426A-8154-FF2EB99D8D1F}">
  <dimension ref="A1:I56"/>
  <sheetViews>
    <sheetView topLeftCell="A22" zoomScaleNormal="100" workbookViewId="0">
      <selection activeCell="I42" sqref="I42"/>
    </sheetView>
  </sheetViews>
  <sheetFormatPr defaultColWidth="8.88671875" defaultRowHeight="14.4" x14ac:dyDescent="0.3"/>
  <cols>
    <col min="1" max="1" width="20.88671875" customWidth="1"/>
    <col min="2" max="2" width="10.88671875" customWidth="1"/>
    <col min="3" max="3" width="2.6640625" customWidth="1"/>
    <col min="4" max="5" width="10.88671875" customWidth="1"/>
  </cols>
  <sheetData>
    <row r="1" spans="1:5" s="1" customFormat="1" x14ac:dyDescent="0.3">
      <c r="D1" s="21"/>
    </row>
    <row r="2" spans="1:5" s="1" customFormat="1" x14ac:dyDescent="0.3"/>
    <row r="3" spans="1:5" s="1" customFormat="1" x14ac:dyDescent="0.3">
      <c r="A3" s="1" t="s">
        <v>331</v>
      </c>
      <c r="B3" s="5">
        <f>Assumptions!O5</f>
        <v>0.05</v>
      </c>
    </row>
    <row r="4" spans="1:5" s="1" customFormat="1" x14ac:dyDescent="0.3">
      <c r="A4" s="1" t="s">
        <v>321</v>
      </c>
      <c r="B4" s="56">
        <f>IF(Assumptions!O8="No",Assumptions!O7,Assumptions!O9)</f>
        <v>75</v>
      </c>
    </row>
    <row r="5" spans="1:5" s="1" customFormat="1" x14ac:dyDescent="0.3">
      <c r="A5" s="1" t="s">
        <v>322</v>
      </c>
      <c r="B5" s="56">
        <f>IF(Assumptions!O8="No",Assumptions!O7,Assumptions!O10)</f>
        <v>150</v>
      </c>
    </row>
    <row r="6" spans="1:5" s="1" customFormat="1" x14ac:dyDescent="0.3">
      <c r="E6" s="57"/>
    </row>
    <row r="7" spans="1:5" s="1" customFormat="1" x14ac:dyDescent="0.3">
      <c r="A7" s="21" t="s">
        <v>31</v>
      </c>
    </row>
    <row r="8" spans="1:5" s="1" customFormat="1" x14ac:dyDescent="0.3">
      <c r="A8" s="21" t="s">
        <v>97</v>
      </c>
      <c r="B8" s="21" t="s">
        <v>32</v>
      </c>
      <c r="D8" s="21" t="s">
        <v>15</v>
      </c>
      <c r="E8" s="21" t="s">
        <v>33</v>
      </c>
    </row>
    <row r="9" spans="1:5" s="1" customFormat="1" x14ac:dyDescent="0.3">
      <c r="A9" s="1" t="s">
        <v>34</v>
      </c>
      <c r="B9" s="56">
        <f>Assumptions!O13</f>
        <v>2550</v>
      </c>
      <c r="D9" s="75">
        <f>'IZ Units'!B8</f>
        <v>1</v>
      </c>
      <c r="E9" s="22">
        <f t="shared" ref="E9:E36" si="0">D9*B9*12</f>
        <v>30600</v>
      </c>
    </row>
    <row r="10" spans="1:5" s="1" customFormat="1" x14ac:dyDescent="0.3">
      <c r="A10" s="1" t="s">
        <v>35</v>
      </c>
      <c r="B10" s="56">
        <f>Assumptions!O14</f>
        <v>3450</v>
      </c>
      <c r="D10" s="75">
        <f>'IZ Units'!B9</f>
        <v>3</v>
      </c>
      <c r="E10" s="22">
        <f t="shared" si="0"/>
        <v>124200</v>
      </c>
    </row>
    <row r="11" spans="1:5" s="1" customFormat="1" x14ac:dyDescent="0.3">
      <c r="A11" s="1" t="s">
        <v>36</v>
      </c>
      <c r="B11" s="56">
        <f>Assumptions!O15</f>
        <v>4150</v>
      </c>
      <c r="C11" s="67"/>
      <c r="D11" s="75">
        <f>'IZ Units'!B10</f>
        <v>3</v>
      </c>
      <c r="E11" s="22">
        <f t="shared" si="0"/>
        <v>149400</v>
      </c>
    </row>
    <row r="12" spans="1:5" s="1" customFormat="1" x14ac:dyDescent="0.3">
      <c r="A12" s="1" t="s">
        <v>37</v>
      </c>
      <c r="B12" s="56">
        <f>Assumptions!O16</f>
        <v>4750</v>
      </c>
      <c r="D12" s="75">
        <f>'IZ Units'!B11</f>
        <v>0</v>
      </c>
      <c r="E12" s="22">
        <f t="shared" si="0"/>
        <v>0</v>
      </c>
    </row>
    <row r="13" spans="1:5" x14ac:dyDescent="0.3">
      <c r="A13" s="1" t="s">
        <v>38</v>
      </c>
      <c r="B13" s="56">
        <f>Affordability!B19</f>
        <v>1298.75</v>
      </c>
      <c r="C13" s="6"/>
      <c r="D13" s="105">
        <f>'IZ Units'!C8</f>
        <v>0</v>
      </c>
      <c r="E13" s="22">
        <f t="shared" si="0"/>
        <v>0</v>
      </c>
    </row>
    <row r="14" spans="1:5" x14ac:dyDescent="0.3">
      <c r="A14" s="1" t="s">
        <v>39</v>
      </c>
      <c r="B14" s="56">
        <f>Affordability!C19</f>
        <v>1485</v>
      </c>
      <c r="C14" s="6"/>
      <c r="D14" s="105">
        <f>'IZ Units'!C9</f>
        <v>0</v>
      </c>
      <c r="E14" s="22">
        <f t="shared" si="0"/>
        <v>0</v>
      </c>
    </row>
    <row r="15" spans="1:5" x14ac:dyDescent="0.3">
      <c r="A15" s="1" t="s">
        <v>40</v>
      </c>
      <c r="B15" s="56">
        <f>Affordability!D19</f>
        <v>1670</v>
      </c>
      <c r="C15" s="6"/>
      <c r="D15" s="105">
        <f>'IZ Units'!C10</f>
        <v>0</v>
      </c>
      <c r="E15" s="22">
        <f t="shared" si="0"/>
        <v>0</v>
      </c>
    </row>
    <row r="16" spans="1:5" x14ac:dyDescent="0.3">
      <c r="A16" s="1" t="s">
        <v>41</v>
      </c>
      <c r="B16" s="56">
        <f>Affordability!E19</f>
        <v>1855</v>
      </c>
      <c r="C16" s="6"/>
      <c r="D16" s="105">
        <f>'IZ Units'!C11</f>
        <v>0</v>
      </c>
      <c r="E16" s="22">
        <f t="shared" si="0"/>
        <v>0</v>
      </c>
    </row>
    <row r="17" spans="1:5" x14ac:dyDescent="0.3">
      <c r="A17" s="1" t="s">
        <v>42</v>
      </c>
      <c r="B17" s="56">
        <f>Affordability!B20</f>
        <v>1558.5</v>
      </c>
      <c r="C17" s="6"/>
      <c r="D17" s="105">
        <f>'IZ Units'!D8</f>
        <v>0</v>
      </c>
      <c r="E17" s="22">
        <f t="shared" si="0"/>
        <v>0</v>
      </c>
    </row>
    <row r="18" spans="1:5" x14ac:dyDescent="0.3">
      <c r="A18" s="1" t="s">
        <v>43</v>
      </c>
      <c r="B18" s="56">
        <f>Affordability!C20</f>
        <v>1782</v>
      </c>
      <c r="C18" s="6"/>
      <c r="D18" s="105">
        <f>'IZ Units'!D9</f>
        <v>0</v>
      </c>
      <c r="E18" s="22">
        <f t="shared" si="0"/>
        <v>0</v>
      </c>
    </row>
    <row r="19" spans="1:5" x14ac:dyDescent="0.3">
      <c r="A19" s="1" t="s">
        <v>44</v>
      </c>
      <c r="B19" s="56">
        <f>Affordability!D20</f>
        <v>2004</v>
      </c>
      <c r="C19" s="6"/>
      <c r="D19" s="105">
        <f>'IZ Units'!D10</f>
        <v>0</v>
      </c>
      <c r="E19" s="22">
        <f t="shared" si="0"/>
        <v>0</v>
      </c>
    </row>
    <row r="20" spans="1:5" x14ac:dyDescent="0.3">
      <c r="A20" s="1" t="s">
        <v>45</v>
      </c>
      <c r="B20" s="56">
        <f>Affordability!E20</f>
        <v>2226</v>
      </c>
      <c r="C20" s="6"/>
      <c r="D20" s="105">
        <f>'IZ Units'!D11</f>
        <v>0</v>
      </c>
      <c r="E20" s="22">
        <f t="shared" si="0"/>
        <v>0</v>
      </c>
    </row>
    <row r="21" spans="1:5" x14ac:dyDescent="0.3">
      <c r="A21" s="1" t="s">
        <v>191</v>
      </c>
      <c r="B21" s="56">
        <f>Affordability!B21</f>
        <v>1688.375</v>
      </c>
      <c r="C21" s="6"/>
      <c r="D21" s="105">
        <f>'IZ Units'!E8</f>
        <v>0</v>
      </c>
      <c r="E21" s="22">
        <f t="shared" si="0"/>
        <v>0</v>
      </c>
    </row>
    <row r="22" spans="1:5" x14ac:dyDescent="0.3">
      <c r="A22" s="1" t="s">
        <v>192</v>
      </c>
      <c r="B22" s="56">
        <f>Affordability!C21</f>
        <v>1930.5</v>
      </c>
      <c r="C22" s="6"/>
      <c r="D22" s="105">
        <f>'IZ Units'!E9</f>
        <v>0</v>
      </c>
      <c r="E22" s="22">
        <f t="shared" si="0"/>
        <v>0</v>
      </c>
    </row>
    <row r="23" spans="1:5" x14ac:dyDescent="0.3">
      <c r="A23" s="1" t="s">
        <v>193</v>
      </c>
      <c r="B23" s="56">
        <f>Affordability!D21</f>
        <v>2171</v>
      </c>
      <c r="C23" s="6"/>
      <c r="D23" s="105">
        <f>'IZ Units'!E10</f>
        <v>0</v>
      </c>
      <c r="E23" s="22">
        <f t="shared" si="0"/>
        <v>0</v>
      </c>
    </row>
    <row r="24" spans="1:5" x14ac:dyDescent="0.3">
      <c r="A24" s="1" t="s">
        <v>194</v>
      </c>
      <c r="B24" s="56">
        <f>Affordability!E21</f>
        <v>2411.5</v>
      </c>
      <c r="C24" s="6"/>
      <c r="D24" s="105">
        <f>'IZ Units'!E11</f>
        <v>0</v>
      </c>
      <c r="E24" s="22">
        <f t="shared" si="0"/>
        <v>0</v>
      </c>
    </row>
    <row r="25" spans="1:5" x14ac:dyDescent="0.3">
      <c r="A25" s="1" t="s">
        <v>46</v>
      </c>
      <c r="B25" s="56">
        <f>Affordability!B23</f>
        <v>2073.75</v>
      </c>
      <c r="C25" s="6"/>
      <c r="D25" s="75">
        <f>'IZ Units'!F8</f>
        <v>0</v>
      </c>
      <c r="E25" s="22">
        <f t="shared" si="0"/>
        <v>0</v>
      </c>
    </row>
    <row r="26" spans="1:5" x14ac:dyDescent="0.3">
      <c r="A26" s="1" t="s">
        <v>47</v>
      </c>
      <c r="B26" s="56">
        <f>Affordability!C23</f>
        <v>2370</v>
      </c>
      <c r="C26" s="7"/>
      <c r="D26" s="75">
        <f>'IZ Units'!F9</f>
        <v>0</v>
      </c>
      <c r="E26" s="22">
        <f t="shared" si="0"/>
        <v>0</v>
      </c>
    </row>
    <row r="27" spans="1:5" x14ac:dyDescent="0.3">
      <c r="A27" s="1" t="s">
        <v>48</v>
      </c>
      <c r="B27" s="56">
        <f>Affordability!D23</f>
        <v>2666.25</v>
      </c>
      <c r="C27" s="7"/>
      <c r="D27" s="75">
        <f>'IZ Units'!F10</f>
        <v>0</v>
      </c>
      <c r="E27" s="22">
        <f t="shared" si="0"/>
        <v>0</v>
      </c>
    </row>
    <row r="28" spans="1:5" x14ac:dyDescent="0.3">
      <c r="A28" s="1" t="s">
        <v>49</v>
      </c>
      <c r="B28" s="56">
        <f>Affordability!E23</f>
        <v>2961.25</v>
      </c>
      <c r="C28" s="7"/>
      <c r="D28" s="75">
        <f>'IZ Units'!F11</f>
        <v>0</v>
      </c>
      <c r="E28" s="22">
        <f t="shared" si="0"/>
        <v>0</v>
      </c>
    </row>
    <row r="29" spans="1:5" x14ac:dyDescent="0.3">
      <c r="A29" s="1" t="s">
        <v>50</v>
      </c>
      <c r="B29" s="56">
        <f>Affordability!B24</f>
        <v>2597.5</v>
      </c>
      <c r="C29" s="6"/>
      <c r="D29" s="75">
        <f>'IZ Units'!G8</f>
        <v>0</v>
      </c>
      <c r="E29" s="22">
        <f t="shared" si="0"/>
        <v>0</v>
      </c>
    </row>
    <row r="30" spans="1:5" x14ac:dyDescent="0.3">
      <c r="A30" s="1" t="s">
        <v>51</v>
      </c>
      <c r="B30" s="56">
        <f>Affordability!C24</f>
        <v>2970</v>
      </c>
      <c r="C30" s="6"/>
      <c r="D30" s="75">
        <f>'IZ Units'!G9</f>
        <v>0</v>
      </c>
      <c r="E30" s="22">
        <f t="shared" si="0"/>
        <v>0</v>
      </c>
    </row>
    <row r="31" spans="1:5" x14ac:dyDescent="0.3">
      <c r="A31" s="1" t="s">
        <v>52</v>
      </c>
      <c r="B31" s="56">
        <f>Affordability!D24</f>
        <v>3340</v>
      </c>
      <c r="C31" s="6"/>
      <c r="D31" s="75">
        <f>'IZ Units'!G10</f>
        <v>0</v>
      </c>
      <c r="E31" s="22">
        <f t="shared" si="0"/>
        <v>0</v>
      </c>
    </row>
    <row r="32" spans="1:5" x14ac:dyDescent="0.3">
      <c r="A32" s="1" t="s">
        <v>53</v>
      </c>
      <c r="B32" s="56">
        <f>Affordability!E24</f>
        <v>3710</v>
      </c>
      <c r="C32" s="6"/>
      <c r="D32" s="75">
        <f>'IZ Units'!G11</f>
        <v>0</v>
      </c>
      <c r="E32" s="22">
        <f t="shared" si="0"/>
        <v>0</v>
      </c>
    </row>
    <row r="33" spans="1:9" x14ac:dyDescent="0.3">
      <c r="A33" s="1" t="s">
        <v>54</v>
      </c>
      <c r="B33" s="56">
        <f>Affordability!B25</f>
        <v>2857.25</v>
      </c>
      <c r="C33" s="6"/>
      <c r="D33" s="75">
        <f>'IZ Units'!H8</f>
        <v>0</v>
      </c>
      <c r="E33" s="22">
        <f t="shared" si="0"/>
        <v>0</v>
      </c>
    </row>
    <row r="34" spans="1:9" x14ac:dyDescent="0.3">
      <c r="A34" s="1" t="s">
        <v>55</v>
      </c>
      <c r="B34" s="56">
        <f>Affordability!C25</f>
        <v>3267</v>
      </c>
      <c r="C34" s="6"/>
      <c r="D34" s="75">
        <f>'IZ Units'!H9</f>
        <v>0</v>
      </c>
      <c r="E34" s="22">
        <f t="shared" si="0"/>
        <v>0</v>
      </c>
    </row>
    <row r="35" spans="1:9" x14ac:dyDescent="0.3">
      <c r="A35" s="1" t="s">
        <v>56</v>
      </c>
      <c r="B35" s="56">
        <f>Affordability!D25</f>
        <v>3674</v>
      </c>
      <c r="C35" s="6"/>
      <c r="D35" s="75">
        <f>'IZ Units'!H10</f>
        <v>0</v>
      </c>
      <c r="E35" s="22">
        <f t="shared" si="0"/>
        <v>0</v>
      </c>
    </row>
    <row r="36" spans="1:9" x14ac:dyDescent="0.3">
      <c r="A36" s="1" t="s">
        <v>57</v>
      </c>
      <c r="B36" s="56">
        <f>Affordability!E25</f>
        <v>4081</v>
      </c>
      <c r="C36" s="6"/>
      <c r="D36" s="75">
        <f>'IZ Units'!H11</f>
        <v>0</v>
      </c>
      <c r="E36" s="22">
        <f t="shared" si="0"/>
        <v>0</v>
      </c>
    </row>
    <row r="37" spans="1:9" s="1" customFormat="1" x14ac:dyDescent="0.3">
      <c r="B37" s="3"/>
      <c r="D37" s="104"/>
      <c r="E37" s="3"/>
    </row>
    <row r="38" spans="1:9" s="1" customFormat="1" x14ac:dyDescent="0.3">
      <c r="A38" s="1" t="s">
        <v>329</v>
      </c>
      <c r="B38" s="22"/>
      <c r="D38" s="104"/>
      <c r="E38" s="22">
        <f>SUM(E9:E36)</f>
        <v>304200</v>
      </c>
    </row>
    <row r="39" spans="1:9" s="1" customFormat="1" x14ac:dyDescent="0.3">
      <c r="A39" s="1" t="s">
        <v>58</v>
      </c>
      <c r="B39" s="22"/>
      <c r="D39" s="104"/>
      <c r="E39" s="106">
        <f>-E38*$B$3</f>
        <v>-15210</v>
      </c>
    </row>
    <row r="40" spans="1:9" s="1" customFormat="1" x14ac:dyDescent="0.3">
      <c r="B40" s="22"/>
      <c r="D40" s="104"/>
      <c r="E40" s="106"/>
    </row>
    <row r="41" spans="1:9" s="1" customFormat="1" x14ac:dyDescent="0.3">
      <c r="A41" s="1" t="s">
        <v>330</v>
      </c>
      <c r="B41" s="22"/>
      <c r="D41" s="104"/>
      <c r="E41" s="106">
        <f>IF(Assumptions!O25="No",Assumptions!O24*'Dev Program'!E15,IF('Dev Program'!E15&lt;5000,'Dev Program'!E15*Assumptions!O26,'Dev Program'!E15*Assumptions!O27))</f>
        <v>0</v>
      </c>
      <c r="I41" s="78"/>
    </row>
    <row r="42" spans="1:9" s="1" customFormat="1" x14ac:dyDescent="0.3">
      <c r="A42" s="1" t="s">
        <v>58</v>
      </c>
      <c r="B42" s="22"/>
      <c r="D42" s="104"/>
      <c r="E42" s="106">
        <f>-E41*Assumptions!O28</f>
        <v>0</v>
      </c>
    </row>
    <row r="43" spans="1:9" s="1" customFormat="1" x14ac:dyDescent="0.3">
      <c r="B43" s="22"/>
      <c r="D43" s="104"/>
      <c r="E43" s="106"/>
    </row>
    <row r="44" spans="1:9" s="1" customFormat="1" x14ac:dyDescent="0.3">
      <c r="A44" s="1" t="s">
        <v>320</v>
      </c>
      <c r="B44" s="22"/>
      <c r="D44" s="104"/>
      <c r="E44" s="56">
        <f>'Dev Program'!$E20*$B$4*12</f>
        <v>4500</v>
      </c>
    </row>
    <row r="45" spans="1:9" s="1" customFormat="1" x14ac:dyDescent="0.3">
      <c r="A45" s="1" t="s">
        <v>319</v>
      </c>
      <c r="B45" s="22"/>
      <c r="D45" s="104"/>
      <c r="E45" s="56">
        <f>'Dev Program'!$E21*$B$5*12</f>
        <v>0</v>
      </c>
    </row>
    <row r="46" spans="1:9" s="1" customFormat="1" x14ac:dyDescent="0.3">
      <c r="A46" s="21" t="s">
        <v>59</v>
      </c>
      <c r="B46" s="54"/>
      <c r="D46" s="54"/>
      <c r="E46" s="54">
        <f>SUM(E38:E45)</f>
        <v>293490</v>
      </c>
    </row>
    <row r="47" spans="1:9" s="1" customFormat="1" x14ac:dyDescent="0.3">
      <c r="D47" s="22"/>
      <c r="E47" s="22"/>
    </row>
    <row r="48" spans="1:9" s="1" customFormat="1" x14ac:dyDescent="0.3">
      <c r="A48" s="21" t="s">
        <v>168</v>
      </c>
      <c r="D48" s="22" t="s">
        <v>23</v>
      </c>
      <c r="E48" s="56">
        <f>IF(Assumptions!O19="No",Assumptions!O18,IF(Assumptions!C6&lt;Assumptions!C34,Assumptions!O20,IF(Assumptions!C6&gt;Assumptions!C35,Assumptions!O22,Assumptions!O21)))</f>
        <v>11500</v>
      </c>
    </row>
    <row r="49" spans="1:6" s="1" customFormat="1" x14ac:dyDescent="0.3">
      <c r="D49" s="56" t="s">
        <v>278</v>
      </c>
      <c r="E49" s="54">
        <f>E48*Assumptions!C6</f>
        <v>80500</v>
      </c>
      <c r="F49" s="34">
        <f>E49/E46</f>
        <v>0.27428532488330098</v>
      </c>
    </row>
    <row r="50" spans="1:6" s="1" customFormat="1" x14ac:dyDescent="0.3">
      <c r="A50" s="63"/>
      <c r="B50" s="4"/>
      <c r="D50" s="22"/>
      <c r="E50" s="56"/>
    </row>
    <row r="51" spans="1:6" s="1" customFormat="1" x14ac:dyDescent="0.3">
      <c r="A51" s="21" t="s">
        <v>61</v>
      </c>
      <c r="B51" s="21"/>
      <c r="C51" s="64"/>
      <c r="D51" s="54"/>
      <c r="E51" s="54">
        <f>E46-E49</f>
        <v>212990</v>
      </c>
      <c r="F51" s="34">
        <f>E49/E51</f>
        <v>0.37795201652659749</v>
      </c>
    </row>
    <row r="52" spans="1:6" s="1" customFormat="1" x14ac:dyDescent="0.3">
      <c r="D52" s="22"/>
    </row>
    <row r="53" spans="1:6" s="1" customFormat="1" x14ac:dyDescent="0.3"/>
    <row r="54" spans="1:6" s="1" customFormat="1" x14ac:dyDescent="0.3"/>
    <row r="55" spans="1:6" s="1" customFormat="1" x14ac:dyDescent="0.3"/>
    <row r="56" spans="1:6" s="1" customFormat="1" x14ac:dyDescent="0.3"/>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81"/>
  <sheetViews>
    <sheetView zoomScaleNormal="100" workbookViewId="0">
      <selection activeCell="E19" sqref="E19"/>
    </sheetView>
  </sheetViews>
  <sheetFormatPr defaultColWidth="10.88671875" defaultRowHeight="14.4" x14ac:dyDescent="0.3"/>
  <cols>
    <col min="1" max="1" width="12.88671875" style="1" customWidth="1"/>
    <col min="2" max="10" width="10.88671875" style="1"/>
    <col min="11" max="11" width="2.88671875" style="1" customWidth="1"/>
    <col min="12" max="12" width="18.88671875" style="1" customWidth="1"/>
    <col min="13" max="13" width="10.88671875" style="1"/>
    <col min="14" max="14" width="2.88671875" style="1" customWidth="1"/>
    <col min="15" max="15" width="18.88671875" style="1" customWidth="1"/>
    <col min="16" max="16" width="11.109375" style="1" bestFit="1" customWidth="1"/>
    <col min="17" max="16384" width="10.88671875" style="1"/>
  </cols>
  <sheetData>
    <row r="1" spans="1:21" x14ac:dyDescent="0.3">
      <c r="A1" s="21" t="s">
        <v>134</v>
      </c>
    </row>
    <row r="3" spans="1:21" x14ac:dyDescent="0.3">
      <c r="A3" s="21" t="s">
        <v>201</v>
      </c>
      <c r="B3" s="1" t="s">
        <v>67</v>
      </c>
      <c r="C3" s="1" t="s">
        <v>68</v>
      </c>
      <c r="D3" s="1" t="s">
        <v>69</v>
      </c>
      <c r="E3" s="1" t="s">
        <v>334</v>
      </c>
      <c r="F3" s="1" t="s">
        <v>70</v>
      </c>
      <c r="G3" s="1" t="s">
        <v>71</v>
      </c>
      <c r="H3" s="1" t="s">
        <v>72</v>
      </c>
      <c r="I3" s="21" t="s">
        <v>73</v>
      </c>
      <c r="L3" s="1" t="s">
        <v>189</v>
      </c>
      <c r="M3" s="42">
        <f>IF(Assumptions!$K$7="No",SUM(Assumptions!K19:K24)*Assumptions!C6,IF(Assumptions!$C$6&gt;Assumptions!$K$8,SUM(Assumptions!K35:K40)*Assumptions!C6,SUM(Assumptions!K19:K24)*Assumptions!C6))</f>
        <v>1.05</v>
      </c>
      <c r="O3" s="21" t="s">
        <v>296</v>
      </c>
      <c r="S3" s="21"/>
    </row>
    <row r="4" spans="1:21" x14ac:dyDescent="0.3">
      <c r="A4" s="1" t="s">
        <v>185</v>
      </c>
      <c r="B4" s="5">
        <f>1-I4</f>
        <v>0.85</v>
      </c>
      <c r="C4" s="5">
        <f>IF(Assumptions!$K$7="No",Assumptions!$K$19,IF(Assumptions!$C$6&gt;Assumptions!$K$8,Assumptions!$K$35,Assumptions!$K$19))</f>
        <v>0</v>
      </c>
      <c r="D4" s="5">
        <f>IF(Assumptions!$K$7="No",Assumptions!$K$20,IF(Assumptions!$C$6&gt;Assumptions!$K$8,Assumptions!$K$36,Assumptions!$K$20))</f>
        <v>0</v>
      </c>
      <c r="E4" s="5">
        <f>IF(Assumptions!$K$7="No",Assumptions!$K$21,IF(Assumptions!$C$6&gt;Assumptions!$K$8,Assumptions!$K$37,Assumptions!$K$21))</f>
        <v>0.15</v>
      </c>
      <c r="F4" s="5">
        <f>IF(Assumptions!$K$7="No",Assumptions!$K$22,IF(Assumptions!$C$6&gt;Assumptions!$K$8,Assumptions!$K$38,Assumptions!$K$22))</f>
        <v>0</v>
      </c>
      <c r="G4" s="5">
        <f>IF(Assumptions!$K$7="No",Assumptions!$K$23,IF(Assumptions!$C$6&gt;Assumptions!$K$8,Assumptions!$K$39,Assumptions!$K$23))</f>
        <v>0</v>
      </c>
      <c r="H4" s="26">
        <f>IF(Assumptions!$K$7="No",Assumptions!$K$24,IF(Assumptions!$C$6&gt;Assumptions!$K$8,Assumptions!$K$40,Assumptions!$K$24))</f>
        <v>0</v>
      </c>
      <c r="I4" s="146">
        <f>SUM(C4:H4)</f>
        <v>0.15</v>
      </c>
      <c r="O4" s="1" t="s">
        <v>4</v>
      </c>
      <c r="P4" s="1" t="str">
        <f>IF(Assumptions!$K$14="No","No",IF(Assumptions!C6&lt;Assumptions!$K$15,"Yes","No"))</f>
        <v>Yes</v>
      </c>
      <c r="U4" s="100"/>
    </row>
    <row r="5" spans="1:21" x14ac:dyDescent="0.3">
      <c r="A5" s="1" t="s">
        <v>2</v>
      </c>
      <c r="B5" s="67">
        <f>Assumptions!C$6-I5</f>
        <v>6</v>
      </c>
      <c r="C5" s="67">
        <f>IF($M5="yes",ROUND(C4*Assumptions!C$6,0),IF($M6="yes",ROUNDUP(C4*Assumptions!C6,0),ROUNDDOWN(C4*Assumptions!C$6,0)))</f>
        <v>0</v>
      </c>
      <c r="D5" s="67">
        <f>IF($M5="yes",ROUND(D4*Assumptions!C$6,0),IF(M6="yes",ROUNDUP(D4*Assumptions!C6,0),ROUNDDOWN(D4*Assumptions!C$6,0)))</f>
        <v>0</v>
      </c>
      <c r="E5" s="67">
        <f>IF($M5="yes",ROUND(E4*Assumptions!C$6,0),IF(M6="yes",ROUNDUP(E4*Assumptions!C6,0),ROUNDDOWN(E4*Assumptions!C$6,0)))</f>
        <v>1</v>
      </c>
      <c r="F5" s="67">
        <f>IF($M5="yes",ROUND(F4*Assumptions!C$6,0),IF(M6="yes",ROUNDUP(F4*Assumptions!C6,0),ROUNDDOWN(F4*Assumptions!C$6,0)))</f>
        <v>0</v>
      </c>
      <c r="G5" s="67">
        <f>IF($M5="yes",ROUND(G4*Assumptions!C$6,0),IF(M6="yes",ROUNDUP(G4*Assumptions!C6,0),ROUNDDOWN(G4*Assumptions!C$6,0)))</f>
        <v>0</v>
      </c>
      <c r="H5" s="67">
        <f>I5-SUM(C5:G5)</f>
        <v>0</v>
      </c>
      <c r="I5" s="103">
        <f>IF($M5="yes",ROUND(I4*Assumptions!C$6,0),IF(M6="yes",ROUNDUP(I4*Assumptions!C6,0),ROUNDDOWN(I4*Assumptions!C$6,0)))</f>
        <v>1</v>
      </c>
      <c r="J5" s="67"/>
      <c r="L5" s="1" t="s">
        <v>66</v>
      </c>
      <c r="M5" s="1" t="str">
        <f>IF(Assumptions!$K$11=$B$26,"Yes","No")</f>
        <v>Yes</v>
      </c>
      <c r="O5" s="21" t="s">
        <v>275</v>
      </c>
      <c r="P5" s="54">
        <f>IF(P4="Yes",Assumptions!K16*M9,0)</f>
        <v>455000</v>
      </c>
      <c r="T5" s="100"/>
      <c r="U5" s="101"/>
    </row>
    <row r="6" spans="1:21" ht="15" customHeight="1" x14ac:dyDescent="0.3">
      <c r="A6" s="42"/>
      <c r="C6" s="67"/>
      <c r="J6" s="67"/>
      <c r="L6" s="1" t="s">
        <v>186</v>
      </c>
      <c r="M6" s="1" t="str">
        <f>IF(Assumptions!$K$11=$B$27,"Yes","No")</f>
        <v>No</v>
      </c>
      <c r="T6" s="100"/>
      <c r="U6" s="101"/>
    </row>
    <row r="7" spans="1:21" x14ac:dyDescent="0.3">
      <c r="A7" s="21" t="s">
        <v>74</v>
      </c>
      <c r="B7" s="1" t="s">
        <v>67</v>
      </c>
      <c r="C7" s="1" t="s">
        <v>68</v>
      </c>
      <c r="D7" s="1" t="s">
        <v>69</v>
      </c>
      <c r="E7" s="1" t="s">
        <v>334</v>
      </c>
      <c r="F7" s="1" t="s">
        <v>70</v>
      </c>
      <c r="G7" s="1" t="s">
        <v>71</v>
      </c>
      <c r="H7" s="1" t="s">
        <v>72</v>
      </c>
      <c r="I7" s="1" t="s">
        <v>75</v>
      </c>
      <c r="L7" s="1" t="s">
        <v>187</v>
      </c>
      <c r="M7" s="1" t="str">
        <f>IF(Assumptions!$K$11=$B$28,"Yes","No")</f>
        <v>No</v>
      </c>
      <c r="O7" s="1" t="s">
        <v>76</v>
      </c>
      <c r="P7" s="1" t="str">
        <f>IF(Assumptions!$K$11=B26,IF(M9&gt;M3,"No","Yes"),"No")</f>
        <v>Yes</v>
      </c>
      <c r="T7" s="100"/>
      <c r="U7" s="101"/>
    </row>
    <row r="8" spans="1:21" x14ac:dyDescent="0.3">
      <c r="A8" s="1" t="s">
        <v>5</v>
      </c>
      <c r="B8" s="67">
        <f>IF($P4="yes",'Dev Program'!$C$7,ROUND('Dev Program'!$B$3*'Dev Program'!$B$7*B4,0))</f>
        <v>1</v>
      </c>
      <c r="C8" s="67">
        <f>IF($P4="yes",0,ROUND('Dev Program'!$B$3*'Dev Program'!$B$7*C4,0))</f>
        <v>0</v>
      </c>
      <c r="D8" s="67">
        <f>IF($P4="yes",0,ROUND('Dev Program'!$B$3*'Dev Program'!$B$7*D4,0))</f>
        <v>0</v>
      </c>
      <c r="E8" s="67">
        <f>IF($P4="yes",0,ROUND('Dev Program'!$B$3*'Dev Program'!$B$7*E4,0))</f>
        <v>0</v>
      </c>
      <c r="F8" s="67">
        <f>IF($P4="yes",0,ROUND('Dev Program'!$B$3*'Dev Program'!$B$7*F4,0))</f>
        <v>0</v>
      </c>
      <c r="G8" s="1">
        <f>IF($P4="yes",0,ROUND('Dev Program'!$B$3*'Dev Program'!$B$7*G4,0))</f>
        <v>0</v>
      </c>
      <c r="H8" s="1">
        <f>IF($P4="yes",0,ROUNDDOWN('Dev Program'!$B$3*'Dev Program'!$B$7*H4,0))</f>
        <v>0</v>
      </c>
      <c r="I8" s="67">
        <f>SUM(B8:H8)</f>
        <v>1</v>
      </c>
      <c r="J8" s="67"/>
      <c r="O8" s="21" t="s">
        <v>276</v>
      </c>
      <c r="P8" s="54">
        <f>IF(P7="Yes",((M3-M9)*Assumptions!$K$16),0)</f>
        <v>22750.000000000022</v>
      </c>
      <c r="T8" s="100"/>
      <c r="U8" s="101"/>
    </row>
    <row r="9" spans="1:21" x14ac:dyDescent="0.3">
      <c r="A9" s="1" t="s">
        <v>16</v>
      </c>
      <c r="B9" s="67">
        <f>IF($P4="yes",'Dev Program'!$C$8,ROUND('Dev Program'!$B$3*'Dev Program'!B8*B4,0))</f>
        <v>3</v>
      </c>
      <c r="C9" s="67">
        <f>IF($P4="yes",0,ROUND('Dev Program'!$B$3*'Dev Program'!$B$8*C4,0))</f>
        <v>0</v>
      </c>
      <c r="D9" s="67">
        <f>IF($P4="yes",0,ROUND('Dev Program'!$B$3*'Dev Program'!$B$8*D4,0))</f>
        <v>0</v>
      </c>
      <c r="E9" s="67">
        <f>IF($P4="yes",0,ROUND('Dev Program'!$B$3*'Dev Program'!$B$8*E4,0))</f>
        <v>0</v>
      </c>
      <c r="F9" s="67">
        <f>IF($P4="yes",0,ROUND('Dev Program'!$B$3*'Dev Program'!$B$8*F4,0))</f>
        <v>0</v>
      </c>
      <c r="G9" s="1">
        <f>IF($P4="yes",0,ROUND('Dev Program'!$B$3*'Dev Program'!$B$8*G4,0))</f>
        <v>0</v>
      </c>
      <c r="H9" s="1">
        <f>IF($P4="yes",0,ROUND('Dev Program'!$B$3*'Dev Program'!$B$8*H4,0))</f>
        <v>0</v>
      </c>
      <c r="I9" s="67">
        <f>SUM(B9:H9)</f>
        <v>3</v>
      </c>
      <c r="J9" s="67"/>
      <c r="L9" s="1" t="s">
        <v>277</v>
      </c>
      <c r="M9" s="1">
        <f>IF(M5="yes",ROUND(M3,0),IF(M6="Yes",ROUNDUP(M3,0),IF(M7="Yes",ROUNDDOWN(M3,0),IF(P7="Yes",ROUNDDOWN(M3,0),0))))</f>
        <v>1</v>
      </c>
      <c r="N9" s="68"/>
      <c r="T9" s="100"/>
      <c r="U9" s="101"/>
    </row>
    <row r="10" spans="1:21" x14ac:dyDescent="0.3">
      <c r="A10" s="1" t="s">
        <v>17</v>
      </c>
      <c r="B10" s="67">
        <f>IF($P4="yes",'Dev Program'!$C$9,(B12-B8-B9-B11))</f>
        <v>3</v>
      </c>
      <c r="C10" s="67">
        <f t="shared" ref="C10:H10" si="0">IF($P4="yes",0,(C12-C8-C9-C11))</f>
        <v>0</v>
      </c>
      <c r="D10" s="67">
        <f t="shared" si="0"/>
        <v>0</v>
      </c>
      <c r="E10" s="67">
        <f t="shared" si="0"/>
        <v>0</v>
      </c>
      <c r="F10" s="67">
        <f t="shared" si="0"/>
        <v>0</v>
      </c>
      <c r="G10" s="67">
        <f t="shared" si="0"/>
        <v>0</v>
      </c>
      <c r="H10" s="67">
        <f t="shared" si="0"/>
        <v>0</v>
      </c>
      <c r="I10" s="67">
        <f>SUM(B10:H10)</f>
        <v>3</v>
      </c>
      <c r="J10" s="67"/>
      <c r="L10" s="21" t="s">
        <v>188</v>
      </c>
      <c r="M10" s="21">
        <f>IF(P4="Yes",0,IF(M5="yes",ROUND(M3,0),IF(M6="Yes",ROUNDUP(M3,0),IF(M7="Yes",ROUNDDOWN(M3,0),IF(P7="Yes",ROUNDDOWN(M3,0),0)))))</f>
        <v>0</v>
      </c>
      <c r="T10" s="100"/>
      <c r="U10" s="101"/>
    </row>
    <row r="11" spans="1:21" x14ac:dyDescent="0.3">
      <c r="A11" s="1" t="s">
        <v>18</v>
      </c>
      <c r="B11" s="67">
        <f>IF($P4="yes",'Dev Program'!$C$10,ROUND('Dev Program'!$B$3*'Dev Program'!$B$10*B4,0))</f>
        <v>0</v>
      </c>
      <c r="C11" s="67">
        <f>IF($P4="yes",0,ROUND('Dev Program'!$B$3*'Dev Program'!$B$10*C4,0))</f>
        <v>0</v>
      </c>
      <c r="D11" s="67">
        <f>IF($P4="yes",0,ROUND('Dev Program'!$B$3*'Dev Program'!$B$10*D4,0))</f>
        <v>0</v>
      </c>
      <c r="E11" s="67">
        <f>IF($P4="yes",0,ROUND('Dev Program'!$B$3*'Dev Program'!$B$10*E4,0))</f>
        <v>0</v>
      </c>
      <c r="F11" s="67">
        <f>IF($P4="yes",0,ROUND('Dev Program'!$B$3*'Dev Program'!$B$10*F4,0))</f>
        <v>0</v>
      </c>
      <c r="G11" s="1">
        <f>IF($P4="yes",0,ROUND('Dev Program'!$B$3*'Dev Program'!$B$10*G4,0))</f>
        <v>0</v>
      </c>
      <c r="H11" s="1">
        <f>IF($P4="yes",0,ROUND('Dev Program'!$B$3*'Dev Program'!$B$10*H4,0))</f>
        <v>0</v>
      </c>
      <c r="I11" s="67">
        <f>SUM(B11:H11)</f>
        <v>0</v>
      </c>
      <c r="J11" s="170">
        <f>I12-'Dev Program'!C11</f>
        <v>0</v>
      </c>
      <c r="T11" s="100"/>
      <c r="U11" s="101"/>
    </row>
    <row r="12" spans="1:21" x14ac:dyDescent="0.3">
      <c r="A12" s="21" t="s">
        <v>19</v>
      </c>
      <c r="B12" s="103">
        <f>IF($P4="yes",'Dev Program'!$B$3,B5)</f>
        <v>7</v>
      </c>
      <c r="C12" s="103">
        <f t="shared" ref="C12:H12" si="1">IF($P4="yes",0,C5)</f>
        <v>0</v>
      </c>
      <c r="D12" s="103">
        <f t="shared" si="1"/>
        <v>0</v>
      </c>
      <c r="E12" s="103">
        <f t="shared" si="1"/>
        <v>0</v>
      </c>
      <c r="F12" s="103">
        <f t="shared" si="1"/>
        <v>0</v>
      </c>
      <c r="G12" s="103">
        <f t="shared" si="1"/>
        <v>0</v>
      </c>
      <c r="H12" s="103">
        <f t="shared" si="1"/>
        <v>0</v>
      </c>
      <c r="I12" s="103">
        <f>SUM(I8:I11)</f>
        <v>7</v>
      </c>
      <c r="J12" s="171">
        <f>SUM(B8:H11)-I12</f>
        <v>0</v>
      </c>
      <c r="N12" s="6"/>
      <c r="O12" s="6"/>
      <c r="P12" s="6"/>
      <c r="R12" s="6"/>
      <c r="T12" s="100"/>
      <c r="U12" s="101"/>
    </row>
    <row r="13" spans="1:21" x14ac:dyDescent="0.3">
      <c r="B13" s="67"/>
      <c r="C13" s="67"/>
      <c r="D13" s="67"/>
      <c r="E13" s="67"/>
      <c r="F13" s="67"/>
      <c r="G13" s="67"/>
      <c r="H13" s="67"/>
      <c r="I13" s="67"/>
      <c r="J13" s="170">
        <f>IF(P$4="yes",SUM(C12:H12),(SUM(C12:H12)-M$10))</f>
        <v>0</v>
      </c>
      <c r="N13" s="6"/>
      <c r="O13" s="6"/>
      <c r="P13" s="6"/>
      <c r="Q13" s="6"/>
      <c r="R13" s="6"/>
      <c r="T13" s="100"/>
      <c r="U13" s="101"/>
    </row>
    <row r="14" spans="1:21" x14ac:dyDescent="0.3">
      <c r="A14" s="21" t="s">
        <v>202</v>
      </c>
      <c r="B14" s="1" t="s">
        <v>67</v>
      </c>
      <c r="C14" s="1" t="s">
        <v>68</v>
      </c>
      <c r="D14" s="1" t="s">
        <v>69</v>
      </c>
      <c r="E14" s="1" t="s">
        <v>334</v>
      </c>
      <c r="F14" s="1" t="s">
        <v>70</v>
      </c>
      <c r="G14" s="1" t="s">
        <v>71</v>
      </c>
      <c r="H14" s="1" t="s">
        <v>72</v>
      </c>
      <c r="I14" s="21" t="s">
        <v>73</v>
      </c>
      <c r="N14" s="6"/>
      <c r="O14" s="6"/>
      <c r="P14" s="6"/>
      <c r="Q14" s="9"/>
      <c r="R14" s="6"/>
      <c r="T14" s="100"/>
      <c r="U14" s="101"/>
    </row>
    <row r="15" spans="1:21" x14ac:dyDescent="0.3">
      <c r="A15" s="1" t="s">
        <v>185</v>
      </c>
      <c r="B15" s="5">
        <f>1-I15</f>
        <v>0.85</v>
      </c>
      <c r="C15" s="61">
        <f>IF(Assumptions!$K$7="No",Assumptions!$K$27,IF(Assumptions!$C$6&gt;Assumptions!$K$8,Assumptions!$K$43,Assumptions!$K$27))</f>
        <v>0</v>
      </c>
      <c r="D15" s="61">
        <f>IF(Assumptions!$K$7="No",Assumptions!$K$28,IF(Assumptions!$C$6&gt;Assumptions!$K$8,Assumptions!$K$44,Assumptions!$K$28))</f>
        <v>0</v>
      </c>
      <c r="E15" s="61">
        <f>IF(Assumptions!$K$7="No",Assumptions!$K$29,IF(Assumptions!$C$6&gt;Assumptions!$K$8,Assumptions!$K$45,Assumptions!$K$29))</f>
        <v>0</v>
      </c>
      <c r="F15" s="61">
        <f>IF(Assumptions!$K$7="No",Assumptions!$K$30,IF(Assumptions!$C$6&gt;Assumptions!$K$8,Assumptions!$K$46,Assumptions!$K$30))</f>
        <v>0.15</v>
      </c>
      <c r="G15" s="61">
        <f>IF(Assumptions!$K$7="No",Assumptions!$K$31,IF(Assumptions!$C$6&gt;Assumptions!$K$8,Assumptions!$K$47,Assumptions!$K$31))</f>
        <v>0</v>
      </c>
      <c r="H15" s="61">
        <f>IF(Assumptions!$K$7="No",Assumptions!$K$32,IF(Assumptions!$C$6&gt;Assumptions!$K$8,Assumptions!$K$48,Assumptions!$K$32))</f>
        <v>0</v>
      </c>
      <c r="I15" s="102">
        <f>SUM(C15:H15)</f>
        <v>0.15</v>
      </c>
      <c r="T15" s="100"/>
      <c r="U15" s="101"/>
    </row>
    <row r="16" spans="1:21" x14ac:dyDescent="0.3">
      <c r="A16" s="1" t="s">
        <v>2</v>
      </c>
      <c r="B16" s="67">
        <f>Assumptions!C$6-'IZ Units'!I16</f>
        <v>6</v>
      </c>
      <c r="C16" s="67">
        <f>IF($M5="yes",ROUND(C15*Assumptions!C$6,0),IF(M6="yes",ROUNDUP(C15*Assumptions!C6,0),ROUNDDOWN(C15*Assumptions!C$6,0)))</f>
        <v>0</v>
      </c>
      <c r="D16" s="67">
        <f>IF($M5="yes",ROUND(D15*Assumptions!C$6,0),IF(M6="yes",ROUNDUP(D15*Assumptions!C6,0),ROUNDDOWN(D15*Assumptions!C$6,0)))</f>
        <v>0</v>
      </c>
      <c r="E16" s="67">
        <f>IF($M5="yes",ROUND(E15*Assumptions!C$6,0),IF(M6="yes",ROUNDUP(E15*Assumptions!C6,0),ROUNDDOWN(E15*Assumptions!C$6,0)))</f>
        <v>0</v>
      </c>
      <c r="F16" s="67">
        <f>IF($M5="yes",ROUND(F15*Assumptions!C$6,0),IF(M6="yes",ROUNDUP(F15*Assumptions!C6,0),ROUNDDOWN(F15*Assumptions!C$6,0)))</f>
        <v>1</v>
      </c>
      <c r="G16" s="67">
        <f>IF($M5="yes",ROUND(G15*Assumptions!C$6,0),IF(M6="yes",ROUNDUP(G15*Assumptions!C6,0),ROUNDDOWN(G15*Assumptions!C$6,0)))</f>
        <v>0</v>
      </c>
      <c r="H16" s="67">
        <f>IF($M5="yes",ROUND(H15*Assumptions!C$6,0),IF(M6="yes",ROUNDUP(H15*Assumptions!C6,0),ROUNDDOWN(H15*Assumptions!C$6,0)))</f>
        <v>0</v>
      </c>
      <c r="I16" s="103">
        <f>SUM(C16:H16)</f>
        <v>1</v>
      </c>
      <c r="T16" s="100"/>
      <c r="U16" s="101"/>
    </row>
    <row r="17" spans="1:21" x14ac:dyDescent="0.3">
      <c r="T17" s="100"/>
      <c r="U17" s="101"/>
    </row>
    <row r="18" spans="1:21" x14ac:dyDescent="0.3">
      <c r="A18" s="21" t="s">
        <v>74</v>
      </c>
      <c r="B18" s="1" t="s">
        <v>67</v>
      </c>
      <c r="C18" s="1" t="s">
        <v>68</v>
      </c>
      <c r="D18" s="1" t="s">
        <v>69</v>
      </c>
      <c r="E18" s="1" t="s">
        <v>334</v>
      </c>
      <c r="F18" s="1" t="s">
        <v>70</v>
      </c>
      <c r="G18" s="1" t="s">
        <v>71</v>
      </c>
      <c r="H18" s="1" t="s">
        <v>72</v>
      </c>
      <c r="I18" s="1" t="s">
        <v>75</v>
      </c>
      <c r="T18" s="100"/>
      <c r="U18" s="101"/>
    </row>
    <row r="19" spans="1:21" x14ac:dyDescent="0.3">
      <c r="A19" s="1" t="s">
        <v>5</v>
      </c>
      <c r="B19" s="67">
        <f>IF($P4="yes",'Dev Program'!$C$7,ROUND('Dev Program'!$B$3*'Dev Program'!$B$7*B15,0))</f>
        <v>1</v>
      </c>
      <c r="C19" s="67">
        <f>IF($P4="yes",0,ROUND('Dev Program'!$B$3*'Dev Program'!$B$7*C15,0))</f>
        <v>0</v>
      </c>
      <c r="D19" s="67">
        <f>IF($P4="yes",0,ROUND('Dev Program'!$B$3*'Dev Program'!$B$7*D15,0))</f>
        <v>0</v>
      </c>
      <c r="E19" s="67">
        <f>IF($P4="yes",0,ROUND('Dev Program'!$B$3*'Dev Program'!$B$7*E15,0))</f>
        <v>0</v>
      </c>
      <c r="F19" s="67">
        <f>IF($P4="yes",0,ROUND('Dev Program'!$B$3*'Dev Program'!$B$7*F15,0))</f>
        <v>0</v>
      </c>
      <c r="G19" s="1">
        <f>IF($P4="yes",0,ROUND('Dev Program'!$B$3*'Dev Program'!$B$7*G15,0))</f>
        <v>0</v>
      </c>
      <c r="H19" s="1">
        <f>IF($P4="yes",0,ROUND('Dev Program'!$B$3*'Dev Program'!$B$7*H15,0))</f>
        <v>0</v>
      </c>
      <c r="I19" s="67">
        <f>SUM(B19:H19)</f>
        <v>1</v>
      </c>
      <c r="T19" s="100"/>
      <c r="U19" s="101"/>
    </row>
    <row r="20" spans="1:21" x14ac:dyDescent="0.3">
      <c r="A20" s="1" t="s">
        <v>16</v>
      </c>
      <c r="B20" s="67">
        <f>IF($P4="yes",'Dev Program'!$C$8,ROUND('Dev Program'!$B$3*'Dev Program'!B$8*B15,0))</f>
        <v>3</v>
      </c>
      <c r="C20" s="67">
        <f>IF($P4="yes",0,ROUND('Dev Program'!$B$3*'Dev Program'!$B$8*C15,0))</f>
        <v>0</v>
      </c>
      <c r="D20" s="67">
        <f>IF($P4="yes",0,ROUND('Dev Program'!$B$3*'Dev Program'!$B$8*D15,0))</f>
        <v>0</v>
      </c>
      <c r="E20" s="67">
        <f>IF($P4="yes",0,ROUND('Dev Program'!$B$3*'Dev Program'!$B$8*E15,0))</f>
        <v>0</v>
      </c>
      <c r="F20" s="67">
        <f>IF($P4="yes",0,ROUND('Dev Program'!$B$3*'Dev Program'!$B$8*F15,0))</f>
        <v>0</v>
      </c>
      <c r="G20" s="1">
        <f>IF($P4="yes",0,ROUND('Dev Program'!$B$3*'Dev Program'!$B$8*G15,0))</f>
        <v>0</v>
      </c>
      <c r="H20" s="1">
        <f>IF($P4="yes",0,ROUND('Dev Program'!$B$3*'Dev Program'!$B$8*H15,0))</f>
        <v>0</v>
      </c>
      <c r="I20" s="67">
        <f>SUM(B20:H20)</f>
        <v>3</v>
      </c>
      <c r="T20" s="100"/>
      <c r="U20" s="101"/>
    </row>
    <row r="21" spans="1:21" x14ac:dyDescent="0.3">
      <c r="A21" s="1" t="s">
        <v>17</v>
      </c>
      <c r="B21" s="67">
        <f>IF($P4="yes",'Dev Program'!$C$9,(B23-B19-B20-B22))</f>
        <v>3</v>
      </c>
      <c r="C21" s="67">
        <f t="shared" ref="C21:H21" si="2">IF($P4="yes",0,(C23-C19-C20-C22))</f>
        <v>0</v>
      </c>
      <c r="D21" s="67">
        <f t="shared" si="2"/>
        <v>0</v>
      </c>
      <c r="E21" s="67">
        <f t="shared" si="2"/>
        <v>0</v>
      </c>
      <c r="F21" s="67">
        <f t="shared" si="2"/>
        <v>0</v>
      </c>
      <c r="G21" s="67">
        <f t="shared" si="2"/>
        <v>0</v>
      </c>
      <c r="H21" s="67">
        <f t="shared" si="2"/>
        <v>0</v>
      </c>
      <c r="I21" s="67">
        <f>SUM(B21:H21)</f>
        <v>3</v>
      </c>
      <c r="T21" s="100"/>
      <c r="U21" s="101"/>
    </row>
    <row r="22" spans="1:21" x14ac:dyDescent="0.3">
      <c r="A22" s="1" t="s">
        <v>18</v>
      </c>
      <c r="B22" s="67">
        <f>IF($P4="yes",'Dev Program'!$C$10,ROUND('Dev Program'!$B$3*'Dev Program'!$B$10*B15,0))</f>
        <v>0</v>
      </c>
      <c r="C22" s="67">
        <f>IF($P4="yes",0,ROUND('Dev Program'!$B$3*'Dev Program'!$B$10*C15,0))</f>
        <v>0</v>
      </c>
      <c r="D22" s="67">
        <f>IF($P4="yes",0,ROUND('Dev Program'!$B$3*'Dev Program'!$B$10*D15,0))</f>
        <v>0</v>
      </c>
      <c r="E22" s="67">
        <f>IF($P4="yes",0,ROUND('Dev Program'!$B$3*'Dev Program'!$B$10*E15,0))</f>
        <v>0</v>
      </c>
      <c r="F22" s="67">
        <f>IF($P4="yes",0,ROUND('Dev Program'!$B$3*'Dev Program'!$B$10*F15,0))</f>
        <v>0</v>
      </c>
      <c r="G22" s="1">
        <f>IF($P4="yes",0,ROUND('Dev Program'!$B$3*'Dev Program'!$B$10*G15,0))</f>
        <v>0</v>
      </c>
      <c r="H22" s="1">
        <f>IF($P4="yes",0,ROUND('Dev Program'!$B$3*'Dev Program'!$B$10*H15,0))</f>
        <v>0</v>
      </c>
      <c r="I22" s="67">
        <f>SUM(B22:H22)</f>
        <v>0</v>
      </c>
      <c r="T22" s="100"/>
      <c r="U22" s="101"/>
    </row>
    <row r="23" spans="1:21" x14ac:dyDescent="0.3">
      <c r="A23" s="21" t="s">
        <v>19</v>
      </c>
      <c r="B23" s="103">
        <f>IF($P4="yes",'Dev Program'!$B$3,B16)</f>
        <v>7</v>
      </c>
      <c r="C23" s="103">
        <f t="shared" ref="C23:H23" si="3">IF($P4="yes",0,C16)</f>
        <v>0</v>
      </c>
      <c r="D23" s="103">
        <f t="shared" si="3"/>
        <v>0</v>
      </c>
      <c r="E23" s="103">
        <f t="shared" si="3"/>
        <v>0</v>
      </c>
      <c r="F23" s="103">
        <f t="shared" si="3"/>
        <v>0</v>
      </c>
      <c r="G23" s="103">
        <f t="shared" si="3"/>
        <v>0</v>
      </c>
      <c r="H23" s="103">
        <f t="shared" si="3"/>
        <v>0</v>
      </c>
      <c r="I23" s="103">
        <f>SUM(I19:I22)</f>
        <v>7</v>
      </c>
      <c r="J23" s="170">
        <f>I23-I12</f>
        <v>0</v>
      </c>
      <c r="N23" s="70"/>
      <c r="O23" s="6"/>
      <c r="P23" s="6"/>
      <c r="R23" s="6"/>
      <c r="U23" s="101"/>
    </row>
    <row r="24" spans="1:21" s="51" customFormat="1" ht="15" thickBot="1" x14ac:dyDescent="0.35">
      <c r="A24" s="140"/>
      <c r="B24" s="141"/>
      <c r="C24" s="141"/>
      <c r="D24" s="141"/>
      <c r="E24" s="141"/>
      <c r="F24" s="141"/>
      <c r="G24" s="141"/>
      <c r="H24" s="141"/>
      <c r="I24" s="141"/>
      <c r="N24" s="142"/>
      <c r="O24" s="143"/>
      <c r="P24" s="143"/>
      <c r="R24" s="143"/>
      <c r="U24" s="144"/>
    </row>
    <row r="25" spans="1:21" x14ac:dyDescent="0.3">
      <c r="A25" s="3"/>
      <c r="N25" s="69"/>
      <c r="O25" s="13"/>
      <c r="P25" s="6"/>
      <c r="Q25" s="15"/>
      <c r="R25" s="6"/>
      <c r="U25" s="101"/>
    </row>
    <row r="26" spans="1:21" x14ac:dyDescent="0.3">
      <c r="A26" s="28" t="s">
        <v>62</v>
      </c>
      <c r="B26" s="28" t="s">
        <v>333</v>
      </c>
      <c r="D26" s="28"/>
      <c r="N26" s="8"/>
      <c r="O26" s="6"/>
      <c r="P26" s="6"/>
      <c r="Q26" s="9"/>
      <c r="R26" s="6"/>
      <c r="U26" s="101"/>
    </row>
    <row r="27" spans="1:21" x14ac:dyDescent="0.3">
      <c r="A27" s="28" t="s">
        <v>77</v>
      </c>
      <c r="B27" s="28" t="s">
        <v>78</v>
      </c>
      <c r="D27" s="28"/>
      <c r="N27" s="3"/>
      <c r="P27" s="6"/>
      <c r="Q27" s="3"/>
      <c r="U27" s="101"/>
    </row>
    <row r="28" spans="1:21" x14ac:dyDescent="0.3">
      <c r="A28" s="28"/>
      <c r="B28" s="28" t="s">
        <v>79</v>
      </c>
      <c r="D28" s="28"/>
      <c r="U28" s="101"/>
    </row>
    <row r="29" spans="1:21" x14ac:dyDescent="0.3">
      <c r="A29" s="28"/>
      <c r="B29" s="28" t="s">
        <v>76</v>
      </c>
      <c r="D29" s="28"/>
    </row>
    <row r="33" spans="1:12" x14ac:dyDescent="0.3">
      <c r="L33" s="42"/>
    </row>
    <row r="35" spans="1:12" x14ac:dyDescent="0.3">
      <c r="A35" s="6"/>
      <c r="B35" s="6"/>
      <c r="C35" s="6"/>
      <c r="D35" s="6"/>
      <c r="E35" s="6"/>
      <c r="F35" s="6"/>
      <c r="G35" s="6"/>
      <c r="H35" s="6"/>
      <c r="I35" s="6"/>
      <c r="J35" s="6"/>
    </row>
    <row r="36" spans="1:12" x14ac:dyDescent="0.3">
      <c r="I36" s="7"/>
      <c r="J36" s="6"/>
    </row>
    <row r="37" spans="1:12" x14ac:dyDescent="0.3">
      <c r="I37" s="7"/>
      <c r="J37" s="71"/>
    </row>
    <row r="38" spans="1:12" x14ac:dyDescent="0.3">
      <c r="I38" s="7"/>
      <c r="J38" s="71"/>
    </row>
    <row r="39" spans="1:12" x14ac:dyDescent="0.3">
      <c r="I39" s="6"/>
      <c r="J39" s="71"/>
    </row>
    <row r="40" spans="1:12" x14ac:dyDescent="0.3">
      <c r="I40" s="6"/>
      <c r="J40" s="71"/>
    </row>
    <row r="41" spans="1:12" x14ac:dyDescent="0.3">
      <c r="I41" s="6"/>
      <c r="J41" s="71"/>
    </row>
    <row r="42" spans="1:12" x14ac:dyDescent="0.3">
      <c r="I42" s="6"/>
      <c r="J42" s="6"/>
    </row>
    <row r="43" spans="1:12" x14ac:dyDescent="0.3">
      <c r="I43" s="9"/>
      <c r="J43" s="6"/>
    </row>
    <row r="44" spans="1:12" x14ac:dyDescent="0.3">
      <c r="I44" s="6"/>
      <c r="J44" s="6"/>
    </row>
    <row r="45" spans="1:12" x14ac:dyDescent="0.3">
      <c r="I45" s="6"/>
      <c r="J45" s="6"/>
    </row>
    <row r="46" spans="1:12" x14ac:dyDescent="0.3">
      <c r="I46" s="6"/>
      <c r="J46" s="6"/>
    </row>
    <row r="47" spans="1:12" x14ac:dyDescent="0.3">
      <c r="I47" s="6"/>
      <c r="J47" s="6"/>
    </row>
    <row r="48" spans="1:12" x14ac:dyDescent="0.3">
      <c r="I48" s="6"/>
      <c r="J48" s="6"/>
    </row>
    <row r="49" spans="1:10" x14ac:dyDescent="0.3">
      <c r="I49" s="6"/>
      <c r="J49" s="6"/>
    </row>
    <row r="50" spans="1:10" x14ac:dyDescent="0.3">
      <c r="I50" s="6"/>
      <c r="J50" s="6"/>
    </row>
    <row r="51" spans="1:10" x14ac:dyDescent="0.3">
      <c r="I51" s="6"/>
      <c r="J51" s="6"/>
    </row>
    <row r="52" spans="1:10" x14ac:dyDescent="0.3">
      <c r="A52" s="6"/>
      <c r="B52" s="6"/>
      <c r="C52" s="6"/>
      <c r="D52" s="6"/>
      <c r="E52" s="6"/>
      <c r="F52" s="6"/>
      <c r="G52" s="6"/>
      <c r="H52" s="6"/>
      <c r="I52" s="6"/>
      <c r="J52" s="6"/>
    </row>
    <row r="54" spans="1:10" x14ac:dyDescent="0.3">
      <c r="A54" s="13"/>
      <c r="B54" s="6"/>
      <c r="C54" s="6"/>
      <c r="D54" s="6"/>
      <c r="E54" s="6"/>
      <c r="F54" s="6"/>
      <c r="G54" s="6"/>
      <c r="H54" s="6"/>
      <c r="I54" s="6"/>
      <c r="J54" s="6"/>
    </row>
    <row r="55" spans="1:10" x14ac:dyDescent="0.3">
      <c r="A55" s="6"/>
      <c r="B55" s="6"/>
      <c r="C55" s="6"/>
      <c r="D55" s="6"/>
      <c r="E55" s="6"/>
      <c r="F55" s="6"/>
      <c r="G55" s="11"/>
      <c r="H55" s="6"/>
      <c r="I55" s="11"/>
      <c r="J55" s="6"/>
    </row>
    <row r="56" spans="1:10" x14ac:dyDescent="0.3">
      <c r="A56" s="6"/>
      <c r="B56" s="6"/>
      <c r="C56" s="6"/>
      <c r="D56" s="12"/>
      <c r="E56" s="6"/>
      <c r="F56" s="6"/>
      <c r="G56" s="11"/>
      <c r="H56" s="15"/>
      <c r="I56" s="11"/>
      <c r="J56" s="15"/>
    </row>
    <row r="57" spans="1:10" x14ac:dyDescent="0.3">
      <c r="A57" s="6"/>
      <c r="B57" s="6"/>
      <c r="C57" s="6"/>
      <c r="D57" s="6"/>
      <c r="E57" s="6"/>
      <c r="F57" s="6"/>
      <c r="G57" s="6"/>
      <c r="H57" s="15"/>
      <c r="I57" s="6"/>
      <c r="J57" s="15"/>
    </row>
    <row r="58" spans="1:10" x14ac:dyDescent="0.3">
      <c r="A58" s="16"/>
      <c r="B58" s="6"/>
      <c r="C58" s="6"/>
      <c r="D58" s="6"/>
      <c r="E58" s="6"/>
      <c r="F58" s="9"/>
      <c r="G58" s="12"/>
      <c r="H58" s="6"/>
      <c r="I58" s="6"/>
      <c r="J58" s="15"/>
    </row>
    <row r="59" spans="1:10" x14ac:dyDescent="0.3">
      <c r="A59" s="12"/>
      <c r="B59" s="6"/>
      <c r="C59" s="6"/>
      <c r="D59" s="9"/>
      <c r="E59" s="6"/>
      <c r="F59" s="6"/>
      <c r="G59" s="12"/>
      <c r="H59" s="6"/>
      <c r="I59" s="6"/>
      <c r="J59" s="6"/>
    </row>
    <row r="60" spans="1:10" x14ac:dyDescent="0.3">
      <c r="A60" s="6"/>
      <c r="B60" s="6"/>
      <c r="C60" s="6"/>
      <c r="D60" s="6"/>
      <c r="E60" s="6"/>
      <c r="F60" s="6"/>
      <c r="G60" s="6"/>
      <c r="H60" s="6"/>
      <c r="I60" s="6"/>
      <c r="J60" s="6"/>
    </row>
    <row r="61" spans="1:10" x14ac:dyDescent="0.3">
      <c r="A61" s="73"/>
      <c r="B61" s="70"/>
      <c r="C61" s="14"/>
      <c r="D61" s="9"/>
      <c r="E61" s="9"/>
      <c r="F61" s="9"/>
      <c r="G61" s="12"/>
      <c r="H61" s="9"/>
      <c r="I61" s="43"/>
      <c r="J61" s="74"/>
    </row>
    <row r="62" spans="1:10" x14ac:dyDescent="0.3">
      <c r="A62" s="73"/>
      <c r="B62" s="70"/>
      <c r="C62" s="14"/>
      <c r="D62" s="9"/>
      <c r="E62" s="9"/>
      <c r="F62" s="9"/>
      <c r="G62" s="12"/>
      <c r="H62" s="9"/>
      <c r="I62" s="43"/>
      <c r="J62" s="74"/>
    </row>
    <row r="63" spans="1:10" x14ac:dyDescent="0.3">
      <c r="A63" s="75"/>
      <c r="B63" s="42"/>
      <c r="C63" s="2"/>
      <c r="D63" s="3"/>
      <c r="E63" s="3"/>
      <c r="F63" s="3"/>
      <c r="G63" s="5"/>
      <c r="H63" s="76"/>
      <c r="I63" s="44"/>
      <c r="J63" s="53"/>
    </row>
    <row r="64" spans="1:10" x14ac:dyDescent="0.3">
      <c r="A64" s="75"/>
      <c r="B64" s="42"/>
      <c r="C64" s="2"/>
      <c r="D64" s="3"/>
      <c r="E64" s="3"/>
      <c r="F64" s="3"/>
      <c r="G64" s="5"/>
      <c r="H64" s="76"/>
      <c r="I64" s="44"/>
      <c r="J64" s="53"/>
    </row>
    <row r="65" spans="1:10" x14ac:dyDescent="0.3">
      <c r="A65" s="75"/>
      <c r="B65" s="42"/>
      <c r="C65" s="2"/>
      <c r="D65" s="3"/>
      <c r="E65" s="3"/>
      <c r="F65" s="3"/>
      <c r="G65" s="5"/>
      <c r="H65" s="76"/>
      <c r="I65" s="44"/>
      <c r="J65" s="53"/>
    </row>
    <row r="66" spans="1:10" x14ac:dyDescent="0.3">
      <c r="A66" s="75"/>
      <c r="B66" s="42"/>
      <c r="C66" s="2"/>
      <c r="D66" s="3"/>
      <c r="E66" s="3"/>
      <c r="F66" s="3"/>
      <c r="G66" s="5"/>
      <c r="H66" s="76"/>
      <c r="I66" s="44"/>
      <c r="J66" s="53"/>
    </row>
    <row r="67" spans="1:10" x14ac:dyDescent="0.3">
      <c r="A67" s="75"/>
      <c r="B67" s="42"/>
      <c r="C67" s="2"/>
      <c r="D67" s="3"/>
      <c r="E67" s="3"/>
      <c r="F67" s="3"/>
      <c r="G67" s="5"/>
      <c r="H67" s="76"/>
      <c r="I67" s="44"/>
      <c r="J67" s="53"/>
    </row>
    <row r="68" spans="1:10" x14ac:dyDescent="0.3">
      <c r="A68" s="75"/>
      <c r="B68" s="42"/>
      <c r="C68" s="2"/>
      <c r="D68" s="3"/>
      <c r="E68" s="3"/>
      <c r="F68" s="3"/>
      <c r="G68" s="5"/>
      <c r="H68" s="76"/>
      <c r="I68" s="44"/>
      <c r="J68" s="53"/>
    </row>
    <row r="69" spans="1:10" x14ac:dyDescent="0.3">
      <c r="A69" s="75"/>
      <c r="B69" s="42"/>
      <c r="C69" s="2"/>
      <c r="D69" s="3"/>
      <c r="E69" s="3"/>
      <c r="F69" s="3"/>
      <c r="G69" s="5"/>
      <c r="H69" s="76"/>
      <c r="I69" s="44"/>
      <c r="J69" s="53"/>
    </row>
    <row r="70" spans="1:10" x14ac:dyDescent="0.3">
      <c r="A70" s="75"/>
      <c r="B70" s="42"/>
      <c r="C70" s="2"/>
      <c r="D70" s="3"/>
      <c r="E70" s="3"/>
      <c r="F70" s="3"/>
      <c r="G70" s="5"/>
      <c r="H70" s="76"/>
      <c r="I70" s="44"/>
      <c r="J70" s="53"/>
    </row>
    <row r="71" spans="1:10" x14ac:dyDescent="0.3">
      <c r="A71" s="75"/>
      <c r="B71" s="42"/>
      <c r="C71" s="2"/>
      <c r="D71" s="3"/>
      <c r="E71" s="3"/>
      <c r="F71" s="3"/>
      <c r="G71" s="5"/>
      <c r="H71" s="76"/>
      <c r="I71" s="44"/>
      <c r="J71" s="53"/>
    </row>
    <row r="72" spans="1:10" x14ac:dyDescent="0.3">
      <c r="A72" s="75"/>
      <c r="B72" s="42"/>
      <c r="C72" s="2"/>
      <c r="D72" s="3"/>
      <c r="E72" s="3"/>
      <c r="F72" s="3"/>
      <c r="G72" s="5"/>
      <c r="H72" s="76"/>
      <c r="I72" s="44"/>
      <c r="J72" s="53"/>
    </row>
    <row r="73" spans="1:10" x14ac:dyDescent="0.3">
      <c r="A73" s="75"/>
      <c r="B73" s="42"/>
      <c r="C73" s="2"/>
      <c r="D73" s="3"/>
      <c r="E73" s="3"/>
      <c r="F73" s="3"/>
      <c r="G73" s="5"/>
      <c r="H73" s="76"/>
      <c r="I73" s="44"/>
      <c r="J73" s="53"/>
    </row>
    <row r="74" spans="1:10" x14ac:dyDescent="0.3">
      <c r="A74" s="75"/>
      <c r="B74" s="42"/>
      <c r="C74" s="2"/>
      <c r="D74" s="3"/>
      <c r="E74" s="3"/>
      <c r="F74" s="3"/>
      <c r="G74" s="5"/>
      <c r="H74" s="76"/>
      <c r="I74" s="44"/>
      <c r="J74" s="53"/>
    </row>
    <row r="75" spans="1:10" x14ac:dyDescent="0.3">
      <c r="A75" s="75"/>
      <c r="B75" s="42"/>
      <c r="C75" s="2"/>
      <c r="D75" s="3"/>
      <c r="E75" s="3"/>
      <c r="F75" s="3"/>
      <c r="G75" s="5"/>
      <c r="H75" s="76"/>
      <c r="I75" s="44"/>
      <c r="J75" s="53"/>
    </row>
    <row r="76" spans="1:10" x14ac:dyDescent="0.3">
      <c r="A76" s="75"/>
      <c r="B76" s="42"/>
      <c r="C76" s="2"/>
      <c r="D76" s="3"/>
      <c r="E76" s="3"/>
      <c r="F76" s="3"/>
      <c r="G76" s="5"/>
      <c r="H76" s="76"/>
      <c r="I76" s="44"/>
      <c r="J76" s="53"/>
    </row>
    <row r="77" spans="1:10" x14ac:dyDescent="0.3">
      <c r="A77" s="75"/>
      <c r="B77" s="42"/>
      <c r="C77" s="2"/>
      <c r="D77" s="3"/>
      <c r="E77" s="3"/>
      <c r="F77" s="3"/>
      <c r="G77" s="5"/>
      <c r="H77" s="76"/>
      <c r="I77" s="44"/>
      <c r="J77" s="53"/>
    </row>
    <row r="78" spans="1:10" x14ac:dyDescent="0.3">
      <c r="A78" s="75"/>
      <c r="B78" s="42"/>
      <c r="C78" s="2"/>
      <c r="D78" s="3"/>
      <c r="E78" s="3"/>
      <c r="F78" s="3"/>
      <c r="G78" s="5"/>
      <c r="H78" s="76"/>
      <c r="I78" s="44"/>
      <c r="J78" s="53"/>
    </row>
    <row r="79" spans="1:10" x14ac:dyDescent="0.3">
      <c r="A79" s="75"/>
      <c r="B79" s="42"/>
      <c r="C79" s="2"/>
      <c r="D79" s="3"/>
      <c r="E79" s="3"/>
      <c r="F79" s="3"/>
      <c r="G79" s="5"/>
      <c r="H79" s="76"/>
      <c r="I79" s="44"/>
      <c r="J79" s="53"/>
    </row>
    <row r="80" spans="1:10" x14ac:dyDescent="0.3">
      <c r="A80" s="75"/>
      <c r="B80" s="42"/>
      <c r="C80" s="2"/>
      <c r="D80" s="3"/>
      <c r="E80" s="3"/>
      <c r="F80" s="3"/>
      <c r="G80" s="5"/>
      <c r="H80" s="76"/>
      <c r="I80" s="44"/>
      <c r="J80" s="53"/>
    </row>
    <row r="81" spans="1:10" x14ac:dyDescent="0.3">
      <c r="A81" s="75"/>
      <c r="B81" s="42"/>
      <c r="C81" s="2"/>
      <c r="D81" s="3"/>
      <c r="E81" s="3"/>
      <c r="F81" s="3"/>
      <c r="G81" s="5"/>
      <c r="H81" s="76"/>
      <c r="I81" s="44"/>
      <c r="J81" s="53"/>
    </row>
  </sheetData>
  <conditionalFormatting sqref="J5">
    <cfRule type="cellIs" dxfId="8" priority="45" operator="notEqual">
      <formula>0</formula>
    </cfRule>
  </conditionalFormatting>
  <conditionalFormatting sqref="J5:J6 J8:J13">
    <cfRule type="cellIs" dxfId="7" priority="40" operator="notEqual">
      <formula>0</formula>
    </cfRule>
  </conditionalFormatting>
  <conditionalFormatting sqref="J23">
    <cfRule type="cellIs" dxfId="6" priority="17" operator="notEqual">
      <formula>0</formula>
    </cfRule>
  </conditionalFormatting>
  <conditionalFormatting sqref="N9">
    <cfRule type="cellIs" dxfId="5" priority="19" operator="notEqual">
      <formula>0</formula>
    </cfRule>
  </conditionalFormatting>
  <pageMargins left="0.25" right="0.25" top="0.75" bottom="0.75" header="0.3" footer="0.3"/>
  <pageSetup paperSize="3"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1F85-0260-43A7-B8DB-B25D90D5A594}">
  <sheetPr codeName="Sheet1"/>
  <dimension ref="A1:U41"/>
  <sheetViews>
    <sheetView topLeftCell="A22" zoomScaleNormal="100" workbookViewId="0">
      <selection activeCell="O23" sqref="O23"/>
    </sheetView>
  </sheetViews>
  <sheetFormatPr defaultColWidth="9.109375" defaultRowHeight="14.4" x14ac:dyDescent="0.3"/>
  <cols>
    <col min="1" max="1" width="24.6640625" style="1" customWidth="1"/>
    <col min="2" max="7" width="11.109375" style="1" bestFit="1" customWidth="1"/>
    <col min="8" max="10" width="9.109375" style="1"/>
    <col min="11" max="11" width="24.6640625" style="1" customWidth="1"/>
    <col min="12" max="15" width="10.6640625" style="1" customWidth="1"/>
    <col min="16" max="16" width="9.109375" style="1"/>
    <col min="17" max="17" width="24.6640625" style="1" customWidth="1"/>
    <col min="18" max="21" width="10.6640625" style="1" customWidth="1"/>
    <col min="22" max="16384" width="9.109375" style="1"/>
  </cols>
  <sheetData>
    <row r="1" spans="1:21" x14ac:dyDescent="0.3">
      <c r="L1" s="30"/>
      <c r="M1" s="33"/>
      <c r="N1" s="33"/>
      <c r="P1" s="35"/>
    </row>
    <row r="2" spans="1:21" x14ac:dyDescent="0.3">
      <c r="A2" s="206" t="s">
        <v>80</v>
      </c>
      <c r="B2" s="205" t="s">
        <v>212</v>
      </c>
      <c r="C2" s="205"/>
      <c r="D2" s="205"/>
      <c r="E2" s="205"/>
      <c r="F2" s="205"/>
      <c r="G2" s="205"/>
      <c r="K2" s="1" t="s">
        <v>295</v>
      </c>
      <c r="L2" s="108">
        <v>9.76</v>
      </c>
      <c r="M2" s="113"/>
      <c r="N2" s="33"/>
      <c r="P2" s="35"/>
    </row>
    <row r="3" spans="1:21" x14ac:dyDescent="0.3">
      <c r="A3" s="207"/>
      <c r="B3" s="112" t="s">
        <v>206</v>
      </c>
      <c r="C3" s="112" t="s">
        <v>207</v>
      </c>
      <c r="D3" s="112" t="s">
        <v>208</v>
      </c>
      <c r="E3" s="112" t="s">
        <v>209</v>
      </c>
      <c r="F3" s="112" t="s">
        <v>210</v>
      </c>
      <c r="G3" s="112" t="s">
        <v>211</v>
      </c>
      <c r="L3" s="22"/>
      <c r="N3" s="32"/>
    </row>
    <row r="4" spans="1:21" x14ac:dyDescent="0.3">
      <c r="A4" s="18" t="s">
        <v>82</v>
      </c>
      <c r="B4" s="23">
        <v>31150</v>
      </c>
      <c r="C4" s="23">
        <v>35600</v>
      </c>
      <c r="D4" s="23">
        <v>40050</v>
      </c>
      <c r="E4" s="23">
        <v>44500</v>
      </c>
      <c r="F4" s="23">
        <v>48100</v>
      </c>
      <c r="G4" s="23">
        <v>51650</v>
      </c>
      <c r="K4" s="17" t="s">
        <v>313</v>
      </c>
      <c r="L4" s="37"/>
      <c r="M4" s="33"/>
      <c r="N4" s="33"/>
    </row>
    <row r="5" spans="1:21" x14ac:dyDescent="0.3">
      <c r="A5" s="1" t="s">
        <v>84</v>
      </c>
      <c r="B5" s="22">
        <v>51950</v>
      </c>
      <c r="C5" s="22">
        <v>59400</v>
      </c>
      <c r="D5" s="22">
        <v>66800</v>
      </c>
      <c r="E5" s="22">
        <v>74200</v>
      </c>
      <c r="F5" s="22">
        <v>80150</v>
      </c>
      <c r="G5" s="22">
        <v>86100</v>
      </c>
      <c r="K5" s="1" t="s">
        <v>314</v>
      </c>
      <c r="L5" s="176">
        <v>6.6000000000000003E-2</v>
      </c>
      <c r="N5" s="30"/>
    </row>
    <row r="6" spans="1:21" x14ac:dyDescent="0.3">
      <c r="A6" s="1" t="s">
        <v>85</v>
      </c>
      <c r="B6" s="22">
        <f>B10*0.6</f>
        <v>62340</v>
      </c>
      <c r="C6" s="22">
        <f t="shared" ref="C6:G6" si="0">C10*0.6</f>
        <v>71280</v>
      </c>
      <c r="D6" s="22">
        <f t="shared" si="0"/>
        <v>80160</v>
      </c>
      <c r="E6" s="22">
        <f t="shared" si="0"/>
        <v>89040</v>
      </c>
      <c r="F6" s="22">
        <f t="shared" si="0"/>
        <v>96180</v>
      </c>
      <c r="G6" s="22">
        <f t="shared" si="0"/>
        <v>103320</v>
      </c>
      <c r="K6" s="1" t="s">
        <v>315</v>
      </c>
      <c r="L6" s="177">
        <v>45309</v>
      </c>
    </row>
    <row r="7" spans="1:21" x14ac:dyDescent="0.3">
      <c r="A7" s="1" t="s">
        <v>86</v>
      </c>
      <c r="B7" s="22">
        <f>B10*0.65</f>
        <v>67535</v>
      </c>
      <c r="C7" s="22">
        <f t="shared" ref="C7:G7" si="1">C10*0.65</f>
        <v>77220</v>
      </c>
      <c r="D7" s="22">
        <f t="shared" si="1"/>
        <v>86840</v>
      </c>
      <c r="E7" s="22">
        <f t="shared" si="1"/>
        <v>96460</v>
      </c>
      <c r="F7" s="22">
        <f t="shared" si="1"/>
        <v>104195</v>
      </c>
      <c r="G7" s="22">
        <f t="shared" si="1"/>
        <v>111930</v>
      </c>
    </row>
    <row r="8" spans="1:21" ht="15" customHeight="1" x14ac:dyDescent="0.3">
      <c r="A8" s="1" t="s">
        <v>88</v>
      </c>
      <c r="B8" s="22">
        <f t="shared" ref="B8:G8" si="2">B10*0.7</f>
        <v>72730</v>
      </c>
      <c r="C8" s="22">
        <f t="shared" si="2"/>
        <v>83160</v>
      </c>
      <c r="D8" s="22">
        <f t="shared" si="2"/>
        <v>93520</v>
      </c>
      <c r="E8" s="22">
        <f t="shared" si="2"/>
        <v>103880</v>
      </c>
      <c r="F8" s="22">
        <f t="shared" si="2"/>
        <v>112210</v>
      </c>
      <c r="G8" s="22">
        <f t="shared" si="2"/>
        <v>120539.99999999999</v>
      </c>
      <c r="K8" s="203"/>
      <c r="L8" s="205" t="s">
        <v>97</v>
      </c>
      <c r="M8" s="205"/>
      <c r="N8" s="205"/>
      <c r="O8" s="205"/>
      <c r="Q8" s="152"/>
      <c r="R8" s="153"/>
      <c r="S8" s="153"/>
      <c r="T8" s="153"/>
      <c r="U8" s="153"/>
    </row>
    <row r="9" spans="1:21" x14ac:dyDescent="0.3">
      <c r="A9" s="1" t="s">
        <v>90</v>
      </c>
      <c r="B9" s="22">
        <v>82950</v>
      </c>
      <c r="C9" s="22">
        <v>94800</v>
      </c>
      <c r="D9" s="22">
        <v>106650</v>
      </c>
      <c r="E9" s="22">
        <v>118450</v>
      </c>
      <c r="F9" s="22">
        <v>127950</v>
      </c>
      <c r="G9" s="22">
        <v>137450</v>
      </c>
      <c r="K9" s="204"/>
      <c r="L9" s="20" t="s">
        <v>5</v>
      </c>
      <c r="M9" s="20" t="s">
        <v>16</v>
      </c>
      <c r="N9" s="20" t="s">
        <v>17</v>
      </c>
      <c r="O9" s="20" t="s">
        <v>18</v>
      </c>
      <c r="Q9" s="152"/>
      <c r="R9" s="21"/>
      <c r="S9" s="21"/>
      <c r="T9" s="21"/>
      <c r="U9" s="21"/>
    </row>
    <row r="10" spans="1:21" x14ac:dyDescent="0.3">
      <c r="A10" s="1" t="s">
        <v>92</v>
      </c>
      <c r="B10" s="22">
        <f t="shared" ref="B10:G10" si="3">B5*2</f>
        <v>103900</v>
      </c>
      <c r="C10" s="22">
        <f t="shared" si="3"/>
        <v>118800</v>
      </c>
      <c r="D10" s="22">
        <f t="shared" si="3"/>
        <v>133600</v>
      </c>
      <c r="E10" s="22">
        <f t="shared" si="3"/>
        <v>148400</v>
      </c>
      <c r="F10" s="22">
        <f t="shared" si="3"/>
        <v>160300</v>
      </c>
      <c r="G10" s="22">
        <f t="shared" si="3"/>
        <v>172200</v>
      </c>
      <c r="K10" s="1" t="s">
        <v>339</v>
      </c>
      <c r="L10" s="22">
        <f>B9</f>
        <v>82950</v>
      </c>
      <c r="M10" s="22">
        <f t="shared" ref="M10:O10" si="4">C9</f>
        <v>94800</v>
      </c>
      <c r="N10" s="22">
        <f t="shared" si="4"/>
        <v>106650</v>
      </c>
      <c r="O10" s="22">
        <f t="shared" si="4"/>
        <v>118450</v>
      </c>
      <c r="R10" s="22"/>
      <c r="S10" s="22"/>
      <c r="T10" s="22"/>
      <c r="U10" s="22"/>
    </row>
    <row r="11" spans="1:21" x14ac:dyDescent="0.3">
      <c r="A11" s="1" t="s">
        <v>94</v>
      </c>
      <c r="B11" s="22">
        <f t="shared" ref="B11:G11" si="5">B10*1.1</f>
        <v>114290.00000000001</v>
      </c>
      <c r="C11" s="22">
        <f t="shared" si="5"/>
        <v>130680.00000000001</v>
      </c>
      <c r="D11" s="22">
        <f t="shared" si="5"/>
        <v>146960</v>
      </c>
      <c r="E11" s="22">
        <f t="shared" si="5"/>
        <v>163240</v>
      </c>
      <c r="F11" s="22">
        <f t="shared" si="5"/>
        <v>176330</v>
      </c>
      <c r="G11" s="22">
        <f t="shared" si="5"/>
        <v>189420.00000000003</v>
      </c>
      <c r="K11" s="1" t="s">
        <v>340</v>
      </c>
      <c r="L11" s="22">
        <f>B8</f>
        <v>72730</v>
      </c>
      <c r="M11" s="22">
        <f>C8</f>
        <v>83160</v>
      </c>
      <c r="N11" s="22">
        <f>D8</f>
        <v>93520</v>
      </c>
      <c r="O11" s="22">
        <f>E8</f>
        <v>103880</v>
      </c>
      <c r="R11" s="22"/>
      <c r="S11" s="22"/>
      <c r="T11" s="22"/>
      <c r="U11" s="22"/>
    </row>
    <row r="12" spans="1:21" x14ac:dyDescent="0.3">
      <c r="A12" s="1" t="s">
        <v>95</v>
      </c>
      <c r="B12" s="22">
        <f>B10*1.2</f>
        <v>124680</v>
      </c>
      <c r="C12" s="22">
        <f t="shared" ref="C12:G12" si="6">C10*1.2</f>
        <v>142560</v>
      </c>
      <c r="D12" s="22">
        <f t="shared" si="6"/>
        <v>160320</v>
      </c>
      <c r="E12" s="22">
        <f t="shared" si="6"/>
        <v>178080</v>
      </c>
      <c r="F12" s="22">
        <f t="shared" si="6"/>
        <v>192360</v>
      </c>
      <c r="G12" s="22">
        <f t="shared" si="6"/>
        <v>206640</v>
      </c>
      <c r="K12" s="1" t="s">
        <v>341</v>
      </c>
      <c r="L12" s="22">
        <f>B22</f>
        <v>1818.25</v>
      </c>
      <c r="M12" s="22">
        <f>C22</f>
        <v>2079</v>
      </c>
      <c r="N12" s="22">
        <f>D22</f>
        <v>2338</v>
      </c>
      <c r="O12" s="22">
        <f>E22</f>
        <v>2597</v>
      </c>
      <c r="P12" s="6"/>
      <c r="R12" s="22"/>
      <c r="S12" s="22"/>
      <c r="T12" s="22"/>
      <c r="U12" s="22"/>
    </row>
    <row r="13" spans="1:21" x14ac:dyDescent="0.3">
      <c r="A13" s="19" t="s">
        <v>96</v>
      </c>
      <c r="B13" s="24">
        <f>B10*1.4</f>
        <v>145460</v>
      </c>
      <c r="C13" s="24">
        <f t="shared" ref="C13:G13" si="7">C10*1.4</f>
        <v>166320</v>
      </c>
      <c r="D13" s="24">
        <f t="shared" si="7"/>
        <v>187040</v>
      </c>
      <c r="E13" s="24">
        <f t="shared" si="7"/>
        <v>207760</v>
      </c>
      <c r="F13" s="24">
        <f t="shared" si="7"/>
        <v>224420</v>
      </c>
      <c r="G13" s="24">
        <f t="shared" si="7"/>
        <v>241079.99999999997</v>
      </c>
      <c r="L13" s="22"/>
      <c r="M13" s="22"/>
      <c r="N13" s="22"/>
      <c r="O13" s="22"/>
      <c r="R13" s="22"/>
      <c r="S13" s="22"/>
      <c r="T13" s="22"/>
      <c r="U13" s="22"/>
    </row>
    <row r="14" spans="1:21" x14ac:dyDescent="0.3">
      <c r="B14" s="22"/>
      <c r="C14" s="22"/>
      <c r="D14" s="22"/>
      <c r="E14" s="22"/>
      <c r="F14" s="22"/>
      <c r="G14" s="22"/>
      <c r="K14" s="1" t="s">
        <v>87</v>
      </c>
      <c r="L14" s="151">
        <f>197000*$L$2/12/1000</f>
        <v>160.22666666666666</v>
      </c>
      <c r="M14" s="151">
        <f>226000*$L$2/12/1000</f>
        <v>183.81333333333333</v>
      </c>
      <c r="N14" s="151">
        <f>255000*$L$2/12/1000</f>
        <v>207.4</v>
      </c>
      <c r="O14" s="151">
        <f>284000*$L$2/12/1000</f>
        <v>230.98666666666665</v>
      </c>
      <c r="R14" s="22"/>
      <c r="S14" s="22"/>
      <c r="T14" s="22"/>
      <c r="U14" s="22"/>
    </row>
    <row r="15" spans="1:21" x14ac:dyDescent="0.3">
      <c r="K15" s="1" t="s">
        <v>89</v>
      </c>
      <c r="L15" s="22">
        <v>150</v>
      </c>
      <c r="M15" s="22">
        <v>175</v>
      </c>
      <c r="N15" s="22">
        <v>200</v>
      </c>
      <c r="O15" s="22">
        <v>225</v>
      </c>
      <c r="R15" s="22"/>
      <c r="S15" s="22"/>
      <c r="T15" s="22"/>
      <c r="U15" s="22"/>
    </row>
    <row r="16" spans="1:21" ht="15" customHeight="1" x14ac:dyDescent="0.3">
      <c r="A16" s="206" t="s">
        <v>195</v>
      </c>
      <c r="B16" s="205" t="s">
        <v>81</v>
      </c>
      <c r="C16" s="205"/>
      <c r="D16" s="205"/>
      <c r="E16" s="205"/>
      <c r="F16" s="205"/>
      <c r="G16" s="205"/>
      <c r="K16" s="1" t="s">
        <v>91</v>
      </c>
      <c r="L16" s="22">
        <v>80</v>
      </c>
      <c r="M16" s="22">
        <v>90</v>
      </c>
      <c r="N16" s="22">
        <v>100</v>
      </c>
      <c r="O16" s="22">
        <v>110</v>
      </c>
      <c r="R16" s="22"/>
      <c r="S16" s="22"/>
      <c r="T16" s="22"/>
      <c r="U16" s="22"/>
    </row>
    <row r="17" spans="1:21" ht="28.8" x14ac:dyDescent="0.3">
      <c r="A17" s="207"/>
      <c r="B17" s="111" t="s">
        <v>213</v>
      </c>
      <c r="C17" s="111" t="s">
        <v>214</v>
      </c>
      <c r="D17" s="111" t="s">
        <v>215</v>
      </c>
      <c r="E17" s="111" t="s">
        <v>216</v>
      </c>
      <c r="F17" s="111" t="s">
        <v>210</v>
      </c>
      <c r="G17" s="111" t="s">
        <v>211</v>
      </c>
      <c r="K17" s="1" t="s">
        <v>93</v>
      </c>
      <c r="L17" s="22">
        <v>200</v>
      </c>
      <c r="M17" s="22">
        <v>220</v>
      </c>
      <c r="N17" s="22">
        <v>240</v>
      </c>
      <c r="O17" s="22">
        <v>260</v>
      </c>
      <c r="R17" s="22"/>
      <c r="S17" s="22"/>
      <c r="T17" s="22"/>
      <c r="U17" s="22"/>
    </row>
    <row r="18" spans="1:21" x14ac:dyDescent="0.3">
      <c r="A18" s="18" t="s">
        <v>82</v>
      </c>
      <c r="B18" s="23">
        <f t="shared" ref="B18:G24" si="8">B4*0.3/12</f>
        <v>778.75</v>
      </c>
      <c r="C18" s="23">
        <f t="shared" si="8"/>
        <v>890</v>
      </c>
      <c r="D18" s="23">
        <f t="shared" si="8"/>
        <v>1001.25</v>
      </c>
      <c r="E18" s="23">
        <f t="shared" si="8"/>
        <v>1112.5</v>
      </c>
      <c r="F18" s="23">
        <f t="shared" si="8"/>
        <v>1202.5</v>
      </c>
      <c r="G18" s="23">
        <f t="shared" si="8"/>
        <v>1291.25</v>
      </c>
      <c r="K18" s="1" t="s">
        <v>196</v>
      </c>
      <c r="L18" s="22">
        <f>L12-(SUM(L14:L17))</f>
        <v>1228.0233333333333</v>
      </c>
      <c r="M18" s="22">
        <f t="shared" ref="M18:O18" si="9">M12-(SUM(M14:M17))</f>
        <v>1410.1866666666667</v>
      </c>
      <c r="N18" s="22">
        <f t="shared" si="9"/>
        <v>1590.6</v>
      </c>
      <c r="O18" s="22">
        <f t="shared" si="9"/>
        <v>1771.0133333333333</v>
      </c>
      <c r="R18" s="81"/>
      <c r="S18" s="81"/>
      <c r="T18" s="81"/>
      <c r="U18" s="81"/>
    </row>
    <row r="19" spans="1:21" x14ac:dyDescent="0.3">
      <c r="A19" s="1" t="s">
        <v>84</v>
      </c>
      <c r="B19" s="22">
        <f t="shared" si="8"/>
        <v>1298.75</v>
      </c>
      <c r="C19" s="22">
        <f t="shared" si="8"/>
        <v>1485</v>
      </c>
      <c r="D19" s="22">
        <f t="shared" si="8"/>
        <v>1670</v>
      </c>
      <c r="E19" s="22">
        <f t="shared" si="8"/>
        <v>1855</v>
      </c>
      <c r="F19" s="22">
        <f t="shared" si="8"/>
        <v>2003.75</v>
      </c>
      <c r="G19" s="22">
        <f t="shared" si="8"/>
        <v>2152.5</v>
      </c>
      <c r="L19" s="22"/>
      <c r="M19" s="22"/>
      <c r="N19" s="22"/>
      <c r="O19" s="22"/>
      <c r="S19" s="37"/>
      <c r="T19" s="37"/>
      <c r="U19" s="37"/>
    </row>
    <row r="20" spans="1:21" x14ac:dyDescent="0.3">
      <c r="A20" s="1" t="s">
        <v>85</v>
      </c>
      <c r="B20" s="22">
        <f t="shared" si="8"/>
        <v>1558.5</v>
      </c>
      <c r="C20" s="22">
        <f t="shared" si="8"/>
        <v>1782</v>
      </c>
      <c r="D20" s="22">
        <f t="shared" si="8"/>
        <v>2004</v>
      </c>
      <c r="E20" s="22">
        <f t="shared" si="8"/>
        <v>2226</v>
      </c>
      <c r="F20" s="22">
        <f t="shared" si="8"/>
        <v>2404.5</v>
      </c>
      <c r="G20" s="22">
        <f t="shared" si="8"/>
        <v>2583</v>
      </c>
      <c r="K20" s="1" t="s">
        <v>9</v>
      </c>
      <c r="L20" s="168">
        <f>L5+0.0025</f>
        <v>6.8500000000000005E-2</v>
      </c>
      <c r="M20" s="107">
        <f>L20</f>
        <v>6.8500000000000005E-2</v>
      </c>
      <c r="N20" s="107">
        <f t="shared" ref="N20:O20" si="10">M20</f>
        <v>6.8500000000000005E-2</v>
      </c>
      <c r="O20" s="107">
        <f t="shared" si="10"/>
        <v>6.8500000000000005E-2</v>
      </c>
      <c r="S20" s="100"/>
      <c r="T20" s="100"/>
      <c r="U20" s="100"/>
    </row>
    <row r="21" spans="1:21" x14ac:dyDescent="0.3">
      <c r="A21" s="1" t="s">
        <v>86</v>
      </c>
      <c r="B21" s="22">
        <f t="shared" si="8"/>
        <v>1688.375</v>
      </c>
      <c r="C21" s="22">
        <f t="shared" si="8"/>
        <v>1930.5</v>
      </c>
      <c r="D21" s="22">
        <f t="shared" si="8"/>
        <v>2171</v>
      </c>
      <c r="E21" s="22">
        <f t="shared" si="8"/>
        <v>2411.5</v>
      </c>
      <c r="F21" s="22">
        <f t="shared" si="8"/>
        <v>2604.875</v>
      </c>
      <c r="G21" s="22">
        <f t="shared" si="8"/>
        <v>2798.25</v>
      </c>
      <c r="K21" s="1" t="s">
        <v>83</v>
      </c>
      <c r="L21" s="37">
        <f>-PV(L20/12,360,L18)</f>
        <v>187410.31157301602</v>
      </c>
      <c r="M21" s="37">
        <f t="shared" ref="M21:O21" si="11">-PV(M20/12,360,M18)</f>
        <v>215210.50569840931</v>
      </c>
      <c r="N21" s="37">
        <f t="shared" si="11"/>
        <v>242743.62994300266</v>
      </c>
      <c r="O21" s="37">
        <f t="shared" si="11"/>
        <v>270276.75418759609</v>
      </c>
      <c r="S21" s="37"/>
      <c r="T21" s="37"/>
      <c r="U21" s="37"/>
    </row>
    <row r="22" spans="1:21" x14ac:dyDescent="0.3">
      <c r="A22" s="1" t="s">
        <v>88</v>
      </c>
      <c r="B22" s="22">
        <f t="shared" si="8"/>
        <v>1818.25</v>
      </c>
      <c r="C22" s="22">
        <f t="shared" si="8"/>
        <v>2079</v>
      </c>
      <c r="D22" s="22">
        <f t="shared" si="8"/>
        <v>2338</v>
      </c>
      <c r="E22" s="22">
        <f t="shared" si="8"/>
        <v>2597</v>
      </c>
      <c r="F22" s="22">
        <f t="shared" si="8"/>
        <v>2805.25</v>
      </c>
      <c r="G22" s="22">
        <f t="shared" si="8"/>
        <v>3013.4999999999995</v>
      </c>
      <c r="K22" s="1" t="s">
        <v>98</v>
      </c>
      <c r="L22" s="46">
        <v>0.05</v>
      </c>
      <c r="M22" s="34">
        <f>L22</f>
        <v>0.05</v>
      </c>
      <c r="N22" s="34">
        <f t="shared" ref="N22:O22" si="12">M22</f>
        <v>0.05</v>
      </c>
      <c r="O22" s="34">
        <f t="shared" si="12"/>
        <v>0.05</v>
      </c>
    </row>
    <row r="23" spans="1:21" x14ac:dyDescent="0.3">
      <c r="A23" s="1" t="s">
        <v>90</v>
      </c>
      <c r="B23" s="22">
        <f t="shared" si="8"/>
        <v>2073.75</v>
      </c>
      <c r="C23" s="22">
        <f t="shared" si="8"/>
        <v>2370</v>
      </c>
      <c r="D23" s="22">
        <f t="shared" si="8"/>
        <v>2666.25</v>
      </c>
      <c r="E23" s="22">
        <f t="shared" si="8"/>
        <v>2961.25</v>
      </c>
      <c r="F23" s="22">
        <f t="shared" si="8"/>
        <v>3198.75</v>
      </c>
      <c r="G23" s="22">
        <f t="shared" si="8"/>
        <v>3436.25</v>
      </c>
      <c r="K23" s="1" t="s">
        <v>99</v>
      </c>
      <c r="L23" s="37">
        <f>L21+(L21*L22)</f>
        <v>196780.82715166683</v>
      </c>
      <c r="M23" s="37">
        <f t="shared" ref="M23:O23" si="13">M21+(M21*M22)</f>
        <v>225971.03098332978</v>
      </c>
      <c r="N23" s="37">
        <f t="shared" si="13"/>
        <v>254880.81144015279</v>
      </c>
      <c r="O23" s="37">
        <f t="shared" si="13"/>
        <v>283790.59189697588</v>
      </c>
    </row>
    <row r="24" spans="1:21" x14ac:dyDescent="0.3">
      <c r="A24" s="1" t="s">
        <v>92</v>
      </c>
      <c r="B24" s="22">
        <f t="shared" si="8"/>
        <v>2597.5</v>
      </c>
      <c r="C24" s="22">
        <f t="shared" si="8"/>
        <v>2970</v>
      </c>
      <c r="D24" s="22">
        <f t="shared" si="8"/>
        <v>3340</v>
      </c>
      <c r="E24" s="22">
        <f t="shared" si="8"/>
        <v>3710</v>
      </c>
      <c r="F24" s="22">
        <f t="shared" si="8"/>
        <v>4007.5</v>
      </c>
      <c r="G24" s="22">
        <f t="shared" si="8"/>
        <v>4305</v>
      </c>
      <c r="M24" s="17"/>
    </row>
    <row r="25" spans="1:21" x14ac:dyDescent="0.3">
      <c r="A25" s="1" t="s">
        <v>94</v>
      </c>
      <c r="B25" s="22">
        <f t="shared" ref="B25:G25" si="14">B11*0.3/12</f>
        <v>2857.25</v>
      </c>
      <c r="C25" s="22">
        <f t="shared" si="14"/>
        <v>3267</v>
      </c>
      <c r="D25" s="22">
        <f t="shared" si="14"/>
        <v>3674</v>
      </c>
      <c r="E25" s="22">
        <f t="shared" si="14"/>
        <v>4081</v>
      </c>
      <c r="F25" s="22">
        <f t="shared" si="14"/>
        <v>4408.25</v>
      </c>
      <c r="G25" s="22">
        <f t="shared" si="14"/>
        <v>4735.5000000000009</v>
      </c>
      <c r="K25" s="6"/>
      <c r="L25" s="31"/>
      <c r="M25" s="31"/>
      <c r="N25" s="31"/>
      <c r="O25" s="10"/>
    </row>
    <row r="26" spans="1:21" x14ac:dyDescent="0.3">
      <c r="A26" s="1" t="s">
        <v>95</v>
      </c>
      <c r="B26" s="22">
        <f t="shared" ref="B26:G26" si="15">B12*0.3/12</f>
        <v>3117</v>
      </c>
      <c r="C26" s="22">
        <f t="shared" si="15"/>
        <v>3564</v>
      </c>
      <c r="D26" s="22">
        <f t="shared" si="15"/>
        <v>4008</v>
      </c>
      <c r="E26" s="22">
        <f t="shared" si="15"/>
        <v>4452</v>
      </c>
      <c r="F26" s="22">
        <f t="shared" si="15"/>
        <v>4809</v>
      </c>
      <c r="G26" s="22">
        <f t="shared" si="15"/>
        <v>5166</v>
      </c>
      <c r="K26" s="203"/>
      <c r="L26" s="205" t="s">
        <v>97</v>
      </c>
      <c r="M26" s="205"/>
      <c r="N26" s="205"/>
      <c r="O26" s="205"/>
    </row>
    <row r="27" spans="1:21" x14ac:dyDescent="0.3">
      <c r="A27" s="19" t="s">
        <v>96</v>
      </c>
      <c r="B27" s="24">
        <f t="shared" ref="B27:G27" si="16">B13*0.3/12</f>
        <v>3636.5</v>
      </c>
      <c r="C27" s="24">
        <f t="shared" si="16"/>
        <v>4158</v>
      </c>
      <c r="D27" s="24">
        <f t="shared" si="16"/>
        <v>4676</v>
      </c>
      <c r="E27" s="24">
        <f t="shared" si="16"/>
        <v>5194</v>
      </c>
      <c r="F27" s="24">
        <f t="shared" si="16"/>
        <v>5610.5</v>
      </c>
      <c r="G27" s="24">
        <f t="shared" si="16"/>
        <v>6026.9999999999991</v>
      </c>
      <c r="K27" s="204"/>
      <c r="L27" s="20" t="s">
        <v>5</v>
      </c>
      <c r="M27" s="20" t="s">
        <v>16</v>
      </c>
      <c r="N27" s="20" t="s">
        <v>17</v>
      </c>
      <c r="O27" s="20" t="s">
        <v>18</v>
      </c>
    </row>
    <row r="28" spans="1:21" x14ac:dyDescent="0.3">
      <c r="A28" s="6"/>
      <c r="B28" s="72"/>
      <c r="C28" s="72"/>
      <c r="D28" s="72"/>
      <c r="E28" s="72"/>
      <c r="F28" s="72"/>
      <c r="G28" s="72"/>
      <c r="K28" s="1" t="s">
        <v>342</v>
      </c>
      <c r="L28" s="22">
        <f>B11</f>
        <v>114290.00000000001</v>
      </c>
      <c r="M28" s="22">
        <f t="shared" ref="M28:O28" si="17">C11</f>
        <v>130680.00000000001</v>
      </c>
      <c r="N28" s="22">
        <f t="shared" si="17"/>
        <v>146960</v>
      </c>
      <c r="O28" s="22">
        <f t="shared" si="17"/>
        <v>163240</v>
      </c>
    </row>
    <row r="29" spans="1:21" x14ac:dyDescent="0.3">
      <c r="A29" s="6"/>
      <c r="B29" s="72"/>
      <c r="C29" s="72"/>
      <c r="D29" s="72"/>
      <c r="E29" s="72"/>
      <c r="F29" s="72"/>
      <c r="G29" s="72"/>
      <c r="K29" s="1" t="s">
        <v>343</v>
      </c>
      <c r="L29" s="22">
        <f>B10</f>
        <v>103900</v>
      </c>
      <c r="M29" s="22">
        <f t="shared" ref="M29:O29" si="18">C10</f>
        <v>118800</v>
      </c>
      <c r="N29" s="22">
        <f t="shared" si="18"/>
        <v>133600</v>
      </c>
      <c r="O29" s="22">
        <f t="shared" si="18"/>
        <v>148400</v>
      </c>
    </row>
    <row r="30" spans="1:21" x14ac:dyDescent="0.3">
      <c r="A30" s="6"/>
      <c r="B30" s="72"/>
      <c r="C30" s="72"/>
      <c r="D30" s="72"/>
      <c r="E30" s="72"/>
      <c r="F30" s="72"/>
      <c r="G30" s="72"/>
      <c r="K30" s="1" t="s">
        <v>341</v>
      </c>
      <c r="L30" s="22">
        <f>B24</f>
        <v>2597.5</v>
      </c>
      <c r="M30" s="22">
        <f t="shared" ref="M30:O30" si="19">C24</f>
        <v>2970</v>
      </c>
      <c r="N30" s="22">
        <f t="shared" si="19"/>
        <v>3340</v>
      </c>
      <c r="O30" s="22">
        <f t="shared" si="19"/>
        <v>3710</v>
      </c>
    </row>
    <row r="31" spans="1:21" x14ac:dyDescent="0.3">
      <c r="A31" s="6"/>
      <c r="B31" s="72"/>
      <c r="C31" s="72"/>
      <c r="D31" s="72"/>
      <c r="E31" s="72"/>
      <c r="F31" s="72"/>
      <c r="G31" s="72"/>
      <c r="L31" s="22"/>
      <c r="M31" s="22"/>
      <c r="N31" s="22"/>
      <c r="O31" s="22"/>
    </row>
    <row r="32" spans="1:21" x14ac:dyDescent="0.3">
      <c r="A32" s="6"/>
      <c r="B32" s="72"/>
      <c r="C32" s="72"/>
      <c r="D32" s="72"/>
      <c r="E32" s="72"/>
      <c r="F32" s="72"/>
      <c r="G32" s="72"/>
      <c r="K32" s="1" t="s">
        <v>87</v>
      </c>
      <c r="L32" s="151">
        <f>308000*$L$2/12/1000</f>
        <v>250.50666666666666</v>
      </c>
      <c r="M32" s="151">
        <f>353000*$L$2/12/1000</f>
        <v>287.10666666666668</v>
      </c>
      <c r="N32" s="151">
        <f>397000*$L$2/12/1000</f>
        <v>322.89333333333332</v>
      </c>
      <c r="O32" s="151">
        <f>442000*$L$2/12/1000</f>
        <v>359.49333333333334</v>
      </c>
    </row>
    <row r="33" spans="1:15" x14ac:dyDescent="0.3">
      <c r="A33" s="6"/>
      <c r="B33" s="72"/>
      <c r="C33" s="72"/>
      <c r="D33" s="72"/>
      <c r="E33" s="72"/>
      <c r="F33" s="72"/>
      <c r="G33" s="72"/>
      <c r="K33" s="1" t="s">
        <v>89</v>
      </c>
      <c r="L33" s="22">
        <v>150</v>
      </c>
      <c r="M33" s="22">
        <v>175</v>
      </c>
      <c r="N33" s="22">
        <v>200</v>
      </c>
      <c r="O33" s="22">
        <v>225</v>
      </c>
    </row>
    <row r="34" spans="1:15" x14ac:dyDescent="0.3">
      <c r="A34" s="6"/>
      <c r="B34" s="22"/>
      <c r="C34" s="22"/>
      <c r="D34" s="22"/>
      <c r="E34" s="22"/>
      <c r="F34" s="22"/>
      <c r="G34" s="22"/>
      <c r="K34" s="1" t="s">
        <v>91</v>
      </c>
      <c r="L34" s="22">
        <v>80</v>
      </c>
      <c r="M34" s="22">
        <v>90</v>
      </c>
      <c r="N34" s="22">
        <v>100</v>
      </c>
      <c r="O34" s="22">
        <v>110</v>
      </c>
    </row>
    <row r="35" spans="1:15" x14ac:dyDescent="0.3">
      <c r="A35" s="6"/>
      <c r="B35" s="22"/>
      <c r="C35" s="22"/>
      <c r="D35" s="22"/>
      <c r="E35" s="22"/>
      <c r="F35" s="22"/>
      <c r="G35" s="22"/>
      <c r="K35" s="1" t="s">
        <v>93</v>
      </c>
      <c r="L35" s="22">
        <v>200</v>
      </c>
      <c r="M35" s="22">
        <v>220</v>
      </c>
      <c r="N35" s="22">
        <v>240</v>
      </c>
      <c r="O35" s="22">
        <v>260</v>
      </c>
    </row>
    <row r="36" spans="1:15" x14ac:dyDescent="0.3">
      <c r="K36" s="1" t="s">
        <v>196</v>
      </c>
      <c r="L36" s="22">
        <f>L30-(SUM(L32:L35))</f>
        <v>1916.9933333333333</v>
      </c>
      <c r="M36" s="22">
        <f t="shared" ref="M36:O36" si="20">M30-(SUM(M32:M35))</f>
        <v>2197.8933333333334</v>
      </c>
      <c r="N36" s="22">
        <f t="shared" si="20"/>
        <v>2477.1066666666666</v>
      </c>
      <c r="O36" s="22">
        <f t="shared" si="20"/>
        <v>2755.5066666666667</v>
      </c>
    </row>
    <row r="37" spans="1:15" x14ac:dyDescent="0.3">
      <c r="A37" s="28"/>
      <c r="B37" s="36"/>
      <c r="L37" s="22"/>
      <c r="M37" s="22"/>
      <c r="N37" s="22"/>
      <c r="O37" s="22"/>
    </row>
    <row r="38" spans="1:15" x14ac:dyDescent="0.3">
      <c r="A38" s="28"/>
      <c r="K38" s="1" t="s">
        <v>9</v>
      </c>
      <c r="L38" s="168">
        <f>L5+0.0025</f>
        <v>6.8500000000000005E-2</v>
      </c>
      <c r="M38" s="107">
        <f>L38</f>
        <v>6.8500000000000005E-2</v>
      </c>
      <c r="N38" s="107">
        <f t="shared" ref="N38" si="21">M38</f>
        <v>6.8500000000000005E-2</v>
      </c>
      <c r="O38" s="107">
        <f t="shared" ref="O38" si="22">N38</f>
        <v>6.8500000000000005E-2</v>
      </c>
    </row>
    <row r="39" spans="1:15" x14ac:dyDescent="0.3">
      <c r="K39" s="1" t="s">
        <v>83</v>
      </c>
      <c r="L39" s="37">
        <f>-PV(L38/12,360,L36)</f>
        <v>292554.96058711794</v>
      </c>
      <c r="M39" s="37">
        <f t="shared" ref="M39:O39" si="23">-PV(M38/12,360,M36)</f>
        <v>335423.49173950672</v>
      </c>
      <c r="N39" s="37">
        <f t="shared" si="23"/>
        <v>378034.61839725776</v>
      </c>
      <c r="O39" s="37">
        <f t="shared" si="23"/>
        <v>420521.62114850385</v>
      </c>
    </row>
    <row r="40" spans="1:15" x14ac:dyDescent="0.3">
      <c r="K40" s="1" t="s">
        <v>98</v>
      </c>
      <c r="L40" s="46">
        <v>0.05</v>
      </c>
      <c r="M40" s="34">
        <f>L40</f>
        <v>0.05</v>
      </c>
      <c r="N40" s="34">
        <f t="shared" ref="N40" si="24">M40</f>
        <v>0.05</v>
      </c>
      <c r="O40" s="34">
        <f t="shared" ref="O40" si="25">N40</f>
        <v>0.05</v>
      </c>
    </row>
    <row r="41" spans="1:15" x14ac:dyDescent="0.3">
      <c r="K41" s="1" t="s">
        <v>99</v>
      </c>
      <c r="L41" s="37">
        <f>L39+(L39*L40)</f>
        <v>307182.70861647383</v>
      </c>
      <c r="M41" s="37">
        <f t="shared" ref="M41:O41" si="26">M39+(M39*M40)</f>
        <v>352194.66632648208</v>
      </c>
      <c r="N41" s="37">
        <f t="shared" si="26"/>
        <v>396936.34931712062</v>
      </c>
      <c r="O41" s="37">
        <f t="shared" si="26"/>
        <v>441547.70220592903</v>
      </c>
    </row>
  </sheetData>
  <mergeCells count="8">
    <mergeCell ref="K26:K27"/>
    <mergeCell ref="L26:O26"/>
    <mergeCell ref="B16:G16"/>
    <mergeCell ref="A16:A17"/>
    <mergeCell ref="A2:A3"/>
    <mergeCell ref="B2:G2"/>
    <mergeCell ref="K8:K9"/>
    <mergeCell ref="L8:O8"/>
  </mergeCells>
  <hyperlinks>
    <hyperlink ref="K4" r:id="rId1" xr:uid="{C466C31D-0169-40E2-A35C-F9AC995A1852}"/>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zoomScaleNormal="100" workbookViewId="0">
      <selection activeCell="I7" sqref="I7"/>
    </sheetView>
  </sheetViews>
  <sheetFormatPr defaultColWidth="10.88671875" defaultRowHeight="14.4" x14ac:dyDescent="0.3"/>
  <cols>
    <col min="1" max="1" width="20.88671875" customWidth="1"/>
    <col min="2" max="2" width="15" customWidth="1"/>
  </cols>
  <sheetData>
    <row r="1" spans="1:31" s="1" customFormat="1" x14ac:dyDescent="0.3">
      <c r="A1" s="21" t="s">
        <v>134</v>
      </c>
    </row>
    <row r="2" spans="1:31" s="1" customFormat="1" x14ac:dyDescent="0.3"/>
    <row r="3" spans="1:31" x14ac:dyDescent="0.3">
      <c r="A3" s="21" t="s">
        <v>103</v>
      </c>
      <c r="B3" s="1"/>
      <c r="C3" s="1"/>
      <c r="D3" s="1"/>
      <c r="E3" s="1"/>
      <c r="F3" s="6"/>
      <c r="G3" s="9"/>
      <c r="H3" s="12"/>
    </row>
    <row r="4" spans="1:31" x14ac:dyDescent="0.3">
      <c r="A4" s="1" t="s">
        <v>101</v>
      </c>
      <c r="B4" s="25">
        <f>Assumptions!O32</f>
        <v>6.5000000000000002E-2</v>
      </c>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1" x14ac:dyDescent="0.3">
      <c r="A5" s="1" t="s">
        <v>10</v>
      </c>
      <c r="B5" s="82">
        <f>Assumptions!O33</f>
        <v>30</v>
      </c>
      <c r="D5" s="1"/>
      <c r="E5" s="4"/>
      <c r="F5" s="6"/>
      <c r="G5" s="9"/>
      <c r="H5" s="15"/>
    </row>
    <row r="6" spans="1:31" x14ac:dyDescent="0.3">
      <c r="A6" s="1" t="s">
        <v>11</v>
      </c>
      <c r="B6" s="83">
        <f>Assumptions!O34</f>
        <v>1.2</v>
      </c>
      <c r="D6" s="1"/>
      <c r="E6" s="4"/>
      <c r="F6" s="6"/>
      <c r="G6" s="6"/>
      <c r="H6" s="15"/>
    </row>
    <row r="7" spans="1:31" x14ac:dyDescent="0.3">
      <c r="A7" s="1" t="s">
        <v>12</v>
      </c>
      <c r="B7" s="5">
        <f>Assumptions!O35</f>
        <v>0.65</v>
      </c>
      <c r="D7" s="5"/>
      <c r="E7" s="4"/>
      <c r="F7" s="6"/>
      <c r="G7" s="6"/>
      <c r="H7" s="15"/>
    </row>
    <row r="8" spans="1:31" x14ac:dyDescent="0.3">
      <c r="A8" s="1" t="s">
        <v>13</v>
      </c>
      <c r="B8" s="26">
        <f>Assumptions!O36</f>
        <v>0.04</v>
      </c>
      <c r="D8" s="81"/>
      <c r="E8" s="1"/>
      <c r="F8" s="6"/>
      <c r="G8" s="6"/>
      <c r="H8" s="6"/>
      <c r="I8" s="6"/>
      <c r="J8" s="6"/>
      <c r="K8" s="6"/>
      <c r="L8" s="6"/>
      <c r="M8" s="6"/>
      <c r="N8" s="6"/>
      <c r="O8" s="6"/>
      <c r="P8" s="6"/>
      <c r="Q8" s="6"/>
      <c r="R8" s="6"/>
      <c r="S8" s="6"/>
      <c r="T8" s="6"/>
      <c r="U8" s="6"/>
      <c r="V8" s="6"/>
      <c r="W8" s="6"/>
      <c r="X8" s="6"/>
      <c r="Y8" s="6"/>
      <c r="Z8" s="6"/>
      <c r="AA8" s="6"/>
      <c r="AB8" s="6"/>
      <c r="AC8" s="6"/>
      <c r="AD8" s="6"/>
      <c r="AE8" s="6"/>
    </row>
    <row r="9" spans="1:31" s="1" customFormat="1" x14ac:dyDescent="0.3">
      <c r="A9" s="1" t="s">
        <v>106</v>
      </c>
      <c r="B9" s="81">
        <f>PMT(B4/12,B5*12,-1)*12</f>
        <v>7.5848162819155657E-2</v>
      </c>
      <c r="D9" s="79"/>
    </row>
    <row r="10" spans="1:31" s="1" customFormat="1" x14ac:dyDescent="0.3">
      <c r="A10" s="21" t="s">
        <v>107</v>
      </c>
      <c r="B10" s="54">
        <f>Operating!E51</f>
        <v>212990</v>
      </c>
      <c r="D10" s="52"/>
    </row>
    <row r="11" spans="1:31" s="1" customFormat="1" x14ac:dyDescent="0.3">
      <c r="A11" s="21"/>
      <c r="B11" s="54"/>
      <c r="D11" s="52"/>
    </row>
    <row r="12" spans="1:31" s="1" customFormat="1" x14ac:dyDescent="0.3">
      <c r="A12" s="1" t="s">
        <v>108</v>
      </c>
      <c r="B12" s="22">
        <f>-PV((B4/12),(B5*12),(B10/12/B6))</f>
        <v>2340091.8370278585</v>
      </c>
      <c r="D12" s="3"/>
    </row>
    <row r="13" spans="1:31" s="1" customFormat="1" x14ac:dyDescent="0.3">
      <c r="A13" s="1" t="s">
        <v>109</v>
      </c>
      <c r="B13" s="22">
        <f>(B10/B8)*B7</f>
        <v>3461087.5</v>
      </c>
      <c r="D13" s="80"/>
    </row>
    <row r="14" spans="1:31" s="1" customFormat="1" x14ac:dyDescent="0.3">
      <c r="A14" s="21" t="s">
        <v>110</v>
      </c>
      <c r="B14" s="54">
        <f>MIN(B12,B13)</f>
        <v>2340091.8370278585</v>
      </c>
      <c r="D14" s="52"/>
      <c r="E14" s="22"/>
      <c r="F14" s="65"/>
      <c r="G14" s="65"/>
    </row>
    <row r="15" spans="1:31" s="1" customFormat="1" x14ac:dyDescent="0.3">
      <c r="A15" s="1" t="s">
        <v>111</v>
      </c>
      <c r="B15" s="22">
        <f>B14*B9</f>
        <v>177491.66666666607</v>
      </c>
      <c r="D15" s="3"/>
      <c r="E15" s="22"/>
      <c r="F15" s="65"/>
      <c r="G15" s="65"/>
    </row>
    <row r="16" spans="1:31" s="1" customFormat="1" x14ac:dyDescent="0.3">
      <c r="B16" s="22"/>
      <c r="D16" s="3"/>
      <c r="E16" s="22"/>
      <c r="F16" s="65"/>
      <c r="G16" s="65"/>
    </row>
    <row r="17" spans="1:31" s="1" customFormat="1" x14ac:dyDescent="0.3">
      <c r="A17" s="1" t="s">
        <v>104</v>
      </c>
      <c r="B17" s="22">
        <f>B14</f>
        <v>2340091.8370278585</v>
      </c>
      <c r="C17" s="34">
        <f>B17/'Dev Costs'!B33</f>
        <v>0.59922120612550545</v>
      </c>
      <c r="D17" s="3"/>
      <c r="E17" s="22"/>
      <c r="F17" s="65"/>
      <c r="G17" s="65"/>
    </row>
    <row r="18" spans="1:31" s="1" customFormat="1" x14ac:dyDescent="0.3">
      <c r="A18" s="1" t="s">
        <v>105</v>
      </c>
      <c r="B18" s="22">
        <f>'Dev Costs'!B33-Financing!B17</f>
        <v>1565130.1629721415</v>
      </c>
      <c r="C18" s="34">
        <f>B18/'Dev Costs'!B33</f>
        <v>0.40077879387449461</v>
      </c>
    </row>
    <row r="19" spans="1:31" s="1" customFormat="1" x14ac:dyDescent="0.3"/>
    <row r="20" spans="1:31" s="1" customFormat="1" x14ac:dyDescent="0.3">
      <c r="A20" s="1" t="s">
        <v>112</v>
      </c>
      <c r="B20" s="1">
        <v>1</v>
      </c>
      <c r="C20" s="1">
        <f>B20+1</f>
        <v>2</v>
      </c>
      <c r="D20" s="1">
        <f t="shared" ref="D20:AE20" si="0">C20+1</f>
        <v>3</v>
      </c>
      <c r="E20" s="1">
        <f t="shared" si="0"/>
        <v>4</v>
      </c>
      <c r="F20" s="1">
        <f t="shared" si="0"/>
        <v>5</v>
      </c>
      <c r="G20" s="1">
        <f t="shared" si="0"/>
        <v>6</v>
      </c>
      <c r="H20" s="1">
        <f t="shared" si="0"/>
        <v>7</v>
      </c>
      <c r="I20" s="1">
        <f t="shared" si="0"/>
        <v>8</v>
      </c>
      <c r="J20" s="1">
        <f t="shared" si="0"/>
        <v>9</v>
      </c>
      <c r="K20" s="1">
        <f t="shared" si="0"/>
        <v>10</v>
      </c>
      <c r="L20" s="1">
        <f t="shared" si="0"/>
        <v>11</v>
      </c>
      <c r="M20" s="1">
        <f t="shared" si="0"/>
        <v>12</v>
      </c>
      <c r="N20" s="1">
        <f t="shared" si="0"/>
        <v>13</v>
      </c>
      <c r="O20" s="1">
        <f t="shared" si="0"/>
        <v>14</v>
      </c>
      <c r="P20" s="1">
        <f t="shared" si="0"/>
        <v>15</v>
      </c>
      <c r="Q20" s="1">
        <f t="shared" si="0"/>
        <v>16</v>
      </c>
      <c r="R20" s="1">
        <f t="shared" si="0"/>
        <v>17</v>
      </c>
      <c r="S20" s="1">
        <f t="shared" si="0"/>
        <v>18</v>
      </c>
      <c r="T20" s="1">
        <f t="shared" si="0"/>
        <v>19</v>
      </c>
      <c r="U20" s="1">
        <f t="shared" si="0"/>
        <v>20</v>
      </c>
      <c r="V20" s="1">
        <f t="shared" si="0"/>
        <v>21</v>
      </c>
      <c r="W20" s="1">
        <f t="shared" si="0"/>
        <v>22</v>
      </c>
      <c r="X20" s="1">
        <f t="shared" si="0"/>
        <v>23</v>
      </c>
      <c r="Y20" s="1">
        <f t="shared" si="0"/>
        <v>24</v>
      </c>
      <c r="Z20" s="1">
        <f t="shared" si="0"/>
        <v>25</v>
      </c>
      <c r="AA20" s="1">
        <f t="shared" si="0"/>
        <v>26</v>
      </c>
      <c r="AB20" s="1">
        <f t="shared" si="0"/>
        <v>27</v>
      </c>
      <c r="AC20" s="1">
        <f t="shared" si="0"/>
        <v>28</v>
      </c>
      <c r="AD20" s="1">
        <f t="shared" si="0"/>
        <v>29</v>
      </c>
      <c r="AE20" s="1">
        <f t="shared" si="0"/>
        <v>30</v>
      </c>
    </row>
    <row r="21" spans="1:31" s="1" customFormat="1" x14ac:dyDescent="0.3">
      <c r="A21" s="1" t="s">
        <v>113</v>
      </c>
      <c r="B21" s="77">
        <f>Financing!B14</f>
        <v>2340091.8370278585</v>
      </c>
      <c r="C21" s="22">
        <f>B25</f>
        <v>2313936.0345683359</v>
      </c>
      <c r="D21" s="22">
        <f t="shared" ref="D21:AE21" si="1">C25</f>
        <v>2286028.5295774862</v>
      </c>
      <c r="E21" s="22">
        <f t="shared" si="1"/>
        <v>2256252.0072926297</v>
      </c>
      <c r="F21" s="22">
        <f t="shared" si="1"/>
        <v>2224481.2961641625</v>
      </c>
      <c r="G21" s="22">
        <f t="shared" si="1"/>
        <v>2190582.8416719837</v>
      </c>
      <c r="H21" s="22">
        <f t="shared" si="1"/>
        <v>2154414.1449024412</v>
      </c>
      <c r="I21" s="22">
        <f t="shared" si="1"/>
        <v>2115823.1635257239</v>
      </c>
      <c r="J21" s="22">
        <f t="shared" si="1"/>
        <v>2074647.6726556129</v>
      </c>
      <c r="K21" s="22">
        <f t="shared" si="1"/>
        <v>2030714.582904818</v>
      </c>
      <c r="L21" s="22">
        <f t="shared" si="1"/>
        <v>1983839.212769219</v>
      </c>
      <c r="M21" s="22">
        <f t="shared" si="1"/>
        <v>1933824.5122823347</v>
      </c>
      <c r="N21" s="22">
        <f t="shared" si="1"/>
        <v>1880460.2346764924</v>
      </c>
      <c r="O21" s="22">
        <f t="shared" si="1"/>
        <v>1823522.0525686103</v>
      </c>
      <c r="P21" s="22">
        <f t="shared" si="1"/>
        <v>1762770.6149553063</v>
      </c>
      <c r="Q21" s="22">
        <f t="shared" si="1"/>
        <v>1697950.5410532232</v>
      </c>
      <c r="R21" s="22">
        <f t="shared" si="1"/>
        <v>1628789.3467549777</v>
      </c>
      <c r="S21" s="22">
        <f t="shared" si="1"/>
        <v>1554996.2991878719</v>
      </c>
      <c r="T21" s="22">
        <f t="shared" si="1"/>
        <v>1476261.1945602866</v>
      </c>
      <c r="U21" s="22">
        <f t="shared" si="1"/>
        <v>1392253.0541581796</v>
      </c>
      <c r="V21" s="22">
        <f t="shared" si="1"/>
        <v>1302618.7330100555</v>
      </c>
      <c r="W21" s="22">
        <f t="shared" si="1"/>
        <v>1206981.4353716522</v>
      </c>
      <c r="X21" s="22">
        <f t="shared" si="1"/>
        <v>1104939.1307898881</v>
      </c>
      <c r="Y21" s="22">
        <f t="shared" si="1"/>
        <v>996062.86408767814</v>
      </c>
      <c r="Z21" s="22">
        <f t="shared" si="1"/>
        <v>879894.95216530096</v>
      </c>
      <c r="AA21" s="22">
        <f t="shared" si="1"/>
        <v>755947.06003821641</v>
      </c>
      <c r="AB21" s="22">
        <f t="shared" si="1"/>
        <v>623698.14802357217</v>
      </c>
      <c r="AC21" s="22">
        <f t="shared" si="1"/>
        <v>482592.28144598915</v>
      </c>
      <c r="AD21" s="22">
        <f t="shared" si="1"/>
        <v>332036.29365528433</v>
      </c>
      <c r="AE21" s="22">
        <f t="shared" si="1"/>
        <v>171397.29253216725</v>
      </c>
    </row>
    <row r="22" spans="1:31" s="1" customFormat="1" x14ac:dyDescent="0.3">
      <c r="A22" s="1" t="s">
        <v>114</v>
      </c>
      <c r="B22" s="1">
        <f>Financing!B5*12</f>
        <v>360</v>
      </c>
      <c r="C22" s="1">
        <f>B23</f>
        <v>348</v>
      </c>
      <c r="D22" s="1">
        <f t="shared" ref="D22:AE22" si="2">C23</f>
        <v>336</v>
      </c>
      <c r="E22" s="1">
        <f t="shared" si="2"/>
        <v>324</v>
      </c>
      <c r="F22" s="1">
        <f t="shared" si="2"/>
        <v>312</v>
      </c>
      <c r="G22" s="1">
        <f t="shared" si="2"/>
        <v>300</v>
      </c>
      <c r="H22" s="1">
        <f t="shared" si="2"/>
        <v>288</v>
      </c>
      <c r="I22" s="1">
        <f t="shared" si="2"/>
        <v>276</v>
      </c>
      <c r="J22" s="1">
        <f t="shared" si="2"/>
        <v>264</v>
      </c>
      <c r="K22" s="1">
        <f t="shared" si="2"/>
        <v>252</v>
      </c>
      <c r="L22" s="1">
        <f t="shared" si="2"/>
        <v>240</v>
      </c>
      <c r="M22" s="1">
        <f t="shared" si="2"/>
        <v>228</v>
      </c>
      <c r="N22" s="1">
        <f t="shared" si="2"/>
        <v>216</v>
      </c>
      <c r="O22" s="1">
        <f t="shared" si="2"/>
        <v>204</v>
      </c>
      <c r="P22" s="1">
        <f t="shared" si="2"/>
        <v>192</v>
      </c>
      <c r="Q22" s="1">
        <f t="shared" si="2"/>
        <v>180</v>
      </c>
      <c r="R22" s="1">
        <f t="shared" si="2"/>
        <v>168</v>
      </c>
      <c r="S22" s="1">
        <f t="shared" si="2"/>
        <v>156</v>
      </c>
      <c r="T22" s="1">
        <f t="shared" si="2"/>
        <v>144</v>
      </c>
      <c r="U22" s="1">
        <f t="shared" si="2"/>
        <v>132</v>
      </c>
      <c r="V22" s="1">
        <f t="shared" si="2"/>
        <v>120</v>
      </c>
      <c r="W22" s="1">
        <f t="shared" si="2"/>
        <v>108</v>
      </c>
      <c r="X22" s="1">
        <f t="shared" si="2"/>
        <v>96</v>
      </c>
      <c r="Y22" s="1">
        <f t="shared" si="2"/>
        <v>84</v>
      </c>
      <c r="Z22" s="1">
        <f t="shared" si="2"/>
        <v>72</v>
      </c>
      <c r="AA22" s="1">
        <f t="shared" si="2"/>
        <v>60</v>
      </c>
      <c r="AB22" s="1">
        <f t="shared" si="2"/>
        <v>48</v>
      </c>
      <c r="AC22" s="1">
        <f t="shared" si="2"/>
        <v>36</v>
      </c>
      <c r="AD22" s="1">
        <f t="shared" si="2"/>
        <v>24</v>
      </c>
      <c r="AE22" s="1">
        <f t="shared" si="2"/>
        <v>12</v>
      </c>
    </row>
    <row r="23" spans="1:31" s="1" customFormat="1" x14ac:dyDescent="0.3">
      <c r="A23" s="1" t="s">
        <v>115</v>
      </c>
      <c r="B23" s="1">
        <f>B22-12</f>
        <v>348</v>
      </c>
      <c r="C23" s="1">
        <f>C22-12</f>
        <v>336</v>
      </c>
      <c r="D23" s="1">
        <f t="shared" ref="D23:AE23" si="3">D22-12</f>
        <v>324</v>
      </c>
      <c r="E23" s="1">
        <f t="shared" si="3"/>
        <v>312</v>
      </c>
      <c r="F23" s="1">
        <f t="shared" si="3"/>
        <v>300</v>
      </c>
      <c r="G23" s="1">
        <f t="shared" si="3"/>
        <v>288</v>
      </c>
      <c r="H23" s="1">
        <f t="shared" si="3"/>
        <v>276</v>
      </c>
      <c r="I23" s="1">
        <f t="shared" si="3"/>
        <v>264</v>
      </c>
      <c r="J23" s="1">
        <f t="shared" si="3"/>
        <v>252</v>
      </c>
      <c r="K23" s="1">
        <f t="shared" si="3"/>
        <v>240</v>
      </c>
      <c r="L23" s="1">
        <f t="shared" si="3"/>
        <v>228</v>
      </c>
      <c r="M23" s="1">
        <f t="shared" si="3"/>
        <v>216</v>
      </c>
      <c r="N23" s="1">
        <f t="shared" si="3"/>
        <v>204</v>
      </c>
      <c r="O23" s="1">
        <f t="shared" si="3"/>
        <v>192</v>
      </c>
      <c r="P23" s="1">
        <f t="shared" si="3"/>
        <v>180</v>
      </c>
      <c r="Q23" s="1">
        <f t="shared" si="3"/>
        <v>168</v>
      </c>
      <c r="R23" s="1">
        <f t="shared" si="3"/>
        <v>156</v>
      </c>
      <c r="S23" s="1">
        <f t="shared" si="3"/>
        <v>144</v>
      </c>
      <c r="T23" s="1">
        <f t="shared" si="3"/>
        <v>132</v>
      </c>
      <c r="U23" s="1">
        <f t="shared" si="3"/>
        <v>120</v>
      </c>
      <c r="V23" s="1">
        <f t="shared" si="3"/>
        <v>108</v>
      </c>
      <c r="W23" s="1">
        <f t="shared" si="3"/>
        <v>96</v>
      </c>
      <c r="X23" s="1">
        <f t="shared" si="3"/>
        <v>84</v>
      </c>
      <c r="Y23" s="1">
        <f t="shared" si="3"/>
        <v>72</v>
      </c>
      <c r="Z23" s="1">
        <f t="shared" si="3"/>
        <v>60</v>
      </c>
      <c r="AA23" s="1">
        <f t="shared" si="3"/>
        <v>48</v>
      </c>
      <c r="AB23" s="1">
        <f t="shared" si="3"/>
        <v>36</v>
      </c>
      <c r="AC23" s="1">
        <f t="shared" si="3"/>
        <v>24</v>
      </c>
      <c r="AD23" s="1">
        <f t="shared" si="3"/>
        <v>12</v>
      </c>
      <c r="AE23" s="1">
        <f t="shared" si="3"/>
        <v>0</v>
      </c>
    </row>
    <row r="24" spans="1:31" s="1" customFormat="1" x14ac:dyDescent="0.3">
      <c r="A24" s="1" t="s">
        <v>111</v>
      </c>
      <c r="B24" s="78">
        <f t="shared" ref="B24:AE24" si="4">PMT($B$4/12,B22,B21)*12</f>
        <v>-177491.66666666605</v>
      </c>
      <c r="C24" s="78">
        <f t="shared" si="4"/>
        <v>-177491.66666666538</v>
      </c>
      <c r="D24" s="78">
        <f t="shared" si="4"/>
        <v>-177491.66666666465</v>
      </c>
      <c r="E24" s="78">
        <f t="shared" si="4"/>
        <v>-177491.66666666389</v>
      </c>
      <c r="F24" s="78">
        <f t="shared" si="4"/>
        <v>-177491.66666666316</v>
      </c>
      <c r="G24" s="78">
        <f t="shared" si="4"/>
        <v>-177491.66666666232</v>
      </c>
      <c r="H24" s="78">
        <f t="shared" si="4"/>
        <v>-177491.66666666151</v>
      </c>
      <c r="I24" s="78">
        <f t="shared" si="4"/>
        <v>-177491.6666666606</v>
      </c>
      <c r="J24" s="78">
        <f t="shared" si="4"/>
        <v>-177491.6666666597</v>
      </c>
      <c r="K24" s="78">
        <f t="shared" si="4"/>
        <v>-177491.66666665877</v>
      </c>
      <c r="L24" s="78">
        <f t="shared" si="4"/>
        <v>-177491.66666665778</v>
      </c>
      <c r="M24" s="78">
        <f t="shared" si="4"/>
        <v>-177491.66666665676</v>
      </c>
      <c r="N24" s="78">
        <f t="shared" si="4"/>
        <v>-177491.66666665571</v>
      </c>
      <c r="O24" s="78">
        <f t="shared" si="4"/>
        <v>-177491.66666665464</v>
      </c>
      <c r="P24" s="78">
        <f t="shared" si="4"/>
        <v>-177491.66666665353</v>
      </c>
      <c r="Q24" s="78">
        <f t="shared" si="4"/>
        <v>-177491.66666665237</v>
      </c>
      <c r="R24" s="78">
        <f t="shared" si="4"/>
        <v>-177491.66666665117</v>
      </c>
      <c r="S24" s="78">
        <f t="shared" si="4"/>
        <v>-177491.66666664992</v>
      </c>
      <c r="T24" s="78">
        <f t="shared" si="4"/>
        <v>-177491.66666664861</v>
      </c>
      <c r="U24" s="78">
        <f t="shared" si="4"/>
        <v>-177491.6666666473</v>
      </c>
      <c r="V24" s="78">
        <f t="shared" si="4"/>
        <v>-177491.66666664591</v>
      </c>
      <c r="W24" s="78">
        <f t="shared" si="4"/>
        <v>-177491.66666664439</v>
      </c>
      <c r="X24" s="78">
        <f t="shared" si="4"/>
        <v>-177491.66666664282</v>
      </c>
      <c r="Y24" s="78">
        <f t="shared" si="4"/>
        <v>-177491.66666664119</v>
      </c>
      <c r="Z24" s="78">
        <f t="shared" si="4"/>
        <v>-177491.66666663959</v>
      </c>
      <c r="AA24" s="78">
        <f t="shared" si="4"/>
        <v>-177491.6666666379</v>
      </c>
      <c r="AB24" s="78">
        <f t="shared" si="4"/>
        <v>-177491.66666663619</v>
      </c>
      <c r="AC24" s="78">
        <f t="shared" si="4"/>
        <v>-177491.6666666345</v>
      </c>
      <c r="AD24" s="78">
        <f t="shared" si="4"/>
        <v>-177491.66666663263</v>
      </c>
      <c r="AE24" s="78">
        <f t="shared" si="4"/>
        <v>-177491.66666663077</v>
      </c>
    </row>
    <row r="25" spans="1:31" s="1" customFormat="1" x14ac:dyDescent="0.3">
      <c r="A25" s="1" t="s">
        <v>116</v>
      </c>
      <c r="B25" s="37">
        <f t="shared" ref="B25:AE25" si="5">PV($B$4/12,B23,B24/12)</f>
        <v>2313936.0345683359</v>
      </c>
      <c r="C25" s="37">
        <f t="shared" si="5"/>
        <v>2286028.5295774862</v>
      </c>
      <c r="D25" s="37">
        <f t="shared" si="5"/>
        <v>2256252.0072926297</v>
      </c>
      <c r="E25" s="37">
        <f t="shared" si="5"/>
        <v>2224481.2961641625</v>
      </c>
      <c r="F25" s="37">
        <f t="shared" si="5"/>
        <v>2190582.8416719837</v>
      </c>
      <c r="G25" s="37">
        <f t="shared" si="5"/>
        <v>2154414.1449024412</v>
      </c>
      <c r="H25" s="37">
        <f t="shared" si="5"/>
        <v>2115823.1635257239</v>
      </c>
      <c r="I25" s="37">
        <f t="shared" si="5"/>
        <v>2074647.6726556129</v>
      </c>
      <c r="J25" s="37">
        <f t="shared" si="5"/>
        <v>2030714.582904818</v>
      </c>
      <c r="K25" s="37">
        <f t="shared" si="5"/>
        <v>1983839.212769219</v>
      </c>
      <c r="L25" s="37">
        <f t="shared" si="5"/>
        <v>1933824.5122823347</v>
      </c>
      <c r="M25" s="37">
        <f t="shared" si="5"/>
        <v>1880460.2346764924</v>
      </c>
      <c r="N25" s="37">
        <f t="shared" si="5"/>
        <v>1823522.0525686103</v>
      </c>
      <c r="O25" s="37">
        <f t="shared" si="5"/>
        <v>1762770.6149553063</v>
      </c>
      <c r="P25" s="37">
        <f t="shared" si="5"/>
        <v>1697950.5410532232</v>
      </c>
      <c r="Q25" s="37">
        <f t="shared" si="5"/>
        <v>1628789.3467549777</v>
      </c>
      <c r="R25" s="37">
        <f t="shared" si="5"/>
        <v>1554996.2991878719</v>
      </c>
      <c r="S25" s="37">
        <f t="shared" si="5"/>
        <v>1476261.1945602866</v>
      </c>
      <c r="T25" s="37">
        <f t="shared" si="5"/>
        <v>1392253.0541581796</v>
      </c>
      <c r="U25" s="37">
        <f t="shared" si="5"/>
        <v>1302618.7330100555</v>
      </c>
      <c r="V25" s="37">
        <f t="shared" si="5"/>
        <v>1206981.4353716522</v>
      </c>
      <c r="W25" s="37">
        <f t="shared" si="5"/>
        <v>1104939.1307898881</v>
      </c>
      <c r="X25" s="37">
        <f t="shared" si="5"/>
        <v>996062.86408767814</v>
      </c>
      <c r="Y25" s="37">
        <f t="shared" si="5"/>
        <v>879894.95216530096</v>
      </c>
      <c r="Z25" s="37">
        <f t="shared" si="5"/>
        <v>755947.06003821641</v>
      </c>
      <c r="AA25" s="37">
        <f t="shared" si="5"/>
        <v>623698.14802357217</v>
      </c>
      <c r="AB25" s="37">
        <f t="shared" si="5"/>
        <v>482592.28144598915</v>
      </c>
      <c r="AC25" s="37">
        <f t="shared" si="5"/>
        <v>332036.29365528433</v>
      </c>
      <c r="AD25" s="37">
        <f t="shared" si="5"/>
        <v>171397.29253216725</v>
      </c>
      <c r="AE25" s="37">
        <f t="shared" si="5"/>
        <v>0</v>
      </c>
    </row>
    <row r="26" spans="1:31" s="1" customFormat="1" x14ac:dyDescent="0.3"/>
    <row r="27" spans="1:31" s="1" customFormat="1"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9"/>
  <sheetViews>
    <sheetView zoomScaleNormal="100" workbookViewId="0">
      <selection activeCell="B6" sqref="B6"/>
    </sheetView>
  </sheetViews>
  <sheetFormatPr defaultColWidth="10.88671875" defaultRowHeight="14.4" x14ac:dyDescent="0.3"/>
  <cols>
    <col min="1" max="1" width="20.88671875" style="1" customWidth="1"/>
    <col min="2" max="31" width="12.6640625" style="1" customWidth="1"/>
    <col min="32" max="16384" width="10.88671875" style="1"/>
  </cols>
  <sheetData>
    <row r="1" spans="1:31" x14ac:dyDescent="0.3">
      <c r="A1" s="21" t="s">
        <v>172</v>
      </c>
    </row>
    <row r="3" spans="1:31" x14ac:dyDescent="0.3">
      <c r="A3" s="1" t="s">
        <v>117</v>
      </c>
      <c r="B3" s="85">
        <f>Financing!B8</f>
        <v>0.04</v>
      </c>
      <c r="D3" s="1" t="s">
        <v>118</v>
      </c>
      <c r="E3" s="1">
        <f>Assumptions!O37</f>
        <v>10</v>
      </c>
    </row>
    <row r="4" spans="1:31" x14ac:dyDescent="0.3">
      <c r="A4" s="1" t="s">
        <v>119</v>
      </c>
      <c r="B4" s="175">
        <v>3.5000000000000003E-2</v>
      </c>
      <c r="D4" s="21" t="s">
        <v>0</v>
      </c>
      <c r="E4" s="146">
        <f>IRR(B19:AE19,0.1)</f>
        <v>0.17507765088059823</v>
      </c>
    </row>
    <row r="5" spans="1:31" x14ac:dyDescent="0.3">
      <c r="A5" s="1" t="s">
        <v>120</v>
      </c>
      <c r="B5" s="175">
        <v>3.5000000000000003E-2</v>
      </c>
      <c r="D5" s="21" t="s">
        <v>200</v>
      </c>
      <c r="E5" s="147">
        <f>Operating!E51/'Dev Costs'!B33</f>
        <v>5.4539793128277982E-2</v>
      </c>
    </row>
    <row r="6" spans="1:31" x14ac:dyDescent="0.3">
      <c r="E6" s="85">
        <f>Operating!E51/Financing!B18</f>
        <v>0.1360845283280066</v>
      </c>
    </row>
    <row r="7" spans="1:31" x14ac:dyDescent="0.3">
      <c r="A7" s="1" t="s">
        <v>112</v>
      </c>
      <c r="B7" s="1">
        <v>1</v>
      </c>
      <c r="C7" s="1">
        <f>B7+1</f>
        <v>2</v>
      </c>
      <c r="D7" s="1">
        <f t="shared" ref="D7:AE7" si="0">C7+1</f>
        <v>3</v>
      </c>
      <c r="E7" s="1">
        <f t="shared" si="0"/>
        <v>4</v>
      </c>
      <c r="F7" s="1">
        <f t="shared" si="0"/>
        <v>5</v>
      </c>
      <c r="G7" s="1">
        <f t="shared" si="0"/>
        <v>6</v>
      </c>
      <c r="H7" s="1">
        <f t="shared" si="0"/>
        <v>7</v>
      </c>
      <c r="I7" s="1">
        <f t="shared" si="0"/>
        <v>8</v>
      </c>
      <c r="J7" s="1">
        <f t="shared" si="0"/>
        <v>9</v>
      </c>
      <c r="K7" s="1">
        <f t="shared" si="0"/>
        <v>10</v>
      </c>
      <c r="L7" s="1">
        <f t="shared" si="0"/>
        <v>11</v>
      </c>
      <c r="M7" s="1">
        <f t="shared" si="0"/>
        <v>12</v>
      </c>
      <c r="N7" s="1">
        <f t="shared" si="0"/>
        <v>13</v>
      </c>
      <c r="O7" s="1">
        <f t="shared" si="0"/>
        <v>14</v>
      </c>
      <c r="P7" s="1">
        <f t="shared" si="0"/>
        <v>15</v>
      </c>
      <c r="Q7" s="1">
        <f t="shared" si="0"/>
        <v>16</v>
      </c>
      <c r="R7" s="1">
        <f t="shared" si="0"/>
        <v>17</v>
      </c>
      <c r="S7" s="1">
        <f t="shared" si="0"/>
        <v>18</v>
      </c>
      <c r="T7" s="1">
        <f t="shared" si="0"/>
        <v>19</v>
      </c>
      <c r="U7" s="1">
        <f t="shared" si="0"/>
        <v>20</v>
      </c>
      <c r="V7" s="1">
        <f t="shared" si="0"/>
        <v>21</v>
      </c>
      <c r="W7" s="1">
        <f t="shared" si="0"/>
        <v>22</v>
      </c>
      <c r="X7" s="1">
        <f t="shared" si="0"/>
        <v>23</v>
      </c>
      <c r="Y7" s="1">
        <f t="shared" si="0"/>
        <v>24</v>
      </c>
      <c r="Z7" s="1">
        <f t="shared" si="0"/>
        <v>25</v>
      </c>
      <c r="AA7" s="1">
        <f t="shared" si="0"/>
        <v>26</v>
      </c>
      <c r="AB7" s="1">
        <f t="shared" si="0"/>
        <v>27</v>
      </c>
      <c r="AC7" s="1">
        <f t="shared" si="0"/>
        <v>28</v>
      </c>
      <c r="AD7" s="1">
        <f t="shared" si="0"/>
        <v>29</v>
      </c>
      <c r="AE7" s="1">
        <f t="shared" si="0"/>
        <v>30</v>
      </c>
    </row>
    <row r="8" spans="1:31" x14ac:dyDescent="0.3">
      <c r="A8" s="1" t="s">
        <v>121</v>
      </c>
      <c r="B8" s="84">
        <f>Financing!B18</f>
        <v>1565130.1629721415</v>
      </c>
      <c r="C8" s="84">
        <v>0</v>
      </c>
      <c r="D8" s="84">
        <v>0</v>
      </c>
      <c r="E8" s="84">
        <v>0</v>
      </c>
      <c r="F8" s="84">
        <v>0</v>
      </c>
      <c r="G8" s="84">
        <v>0</v>
      </c>
      <c r="H8" s="84">
        <v>0</v>
      </c>
      <c r="I8" s="84">
        <v>0</v>
      </c>
      <c r="J8" s="84">
        <v>0</v>
      </c>
      <c r="K8" s="84">
        <v>0</v>
      </c>
      <c r="L8" s="84">
        <v>0</v>
      </c>
      <c r="M8" s="84">
        <v>0</v>
      </c>
      <c r="N8" s="84">
        <v>0</v>
      </c>
      <c r="O8" s="84">
        <v>0</v>
      </c>
      <c r="P8" s="84">
        <v>0</v>
      </c>
      <c r="Q8" s="84">
        <v>0</v>
      </c>
      <c r="R8" s="84">
        <v>0</v>
      </c>
      <c r="S8" s="84">
        <v>0</v>
      </c>
      <c r="T8" s="84">
        <v>0</v>
      </c>
      <c r="U8" s="84">
        <v>0</v>
      </c>
      <c r="V8" s="84">
        <v>0</v>
      </c>
      <c r="W8" s="84">
        <v>0</v>
      </c>
      <c r="X8" s="84">
        <v>0</v>
      </c>
      <c r="Y8" s="84">
        <v>0</v>
      </c>
      <c r="Z8" s="84">
        <v>0</v>
      </c>
      <c r="AA8" s="84">
        <v>0</v>
      </c>
      <c r="AB8" s="84">
        <v>0</v>
      </c>
      <c r="AC8" s="84">
        <v>0</v>
      </c>
      <c r="AD8" s="84">
        <v>0</v>
      </c>
      <c r="AE8" s="84">
        <v>0</v>
      </c>
    </row>
    <row r="9" spans="1:31" x14ac:dyDescent="0.3">
      <c r="A9" s="1" t="s">
        <v>100</v>
      </c>
      <c r="B9" s="84">
        <f>Operating!E46</f>
        <v>293490</v>
      </c>
      <c r="C9" s="84">
        <f>B9*(1+$B$4)</f>
        <v>303762.14999999997</v>
      </c>
      <c r="D9" s="84">
        <f t="shared" ref="D9:AE9" si="1">C9*(1+$B$4)</f>
        <v>314393.82524999994</v>
      </c>
      <c r="E9" s="84">
        <f t="shared" si="1"/>
        <v>325397.60913374991</v>
      </c>
      <c r="F9" s="84">
        <f t="shared" si="1"/>
        <v>336786.52545343112</v>
      </c>
      <c r="G9" s="84">
        <f t="shared" si="1"/>
        <v>348574.0538443012</v>
      </c>
      <c r="H9" s="84">
        <f t="shared" si="1"/>
        <v>360774.14572885173</v>
      </c>
      <c r="I9" s="84">
        <f t="shared" si="1"/>
        <v>373401.24082936149</v>
      </c>
      <c r="J9" s="84">
        <f t="shared" si="1"/>
        <v>386470.28425838909</v>
      </c>
      <c r="K9" s="84">
        <f t="shared" si="1"/>
        <v>399996.74420743267</v>
      </c>
      <c r="L9" s="84">
        <f t="shared" si="1"/>
        <v>413996.63025469281</v>
      </c>
      <c r="M9" s="84">
        <f t="shared" si="1"/>
        <v>428486.51231360703</v>
      </c>
      <c r="N9" s="84">
        <f t="shared" si="1"/>
        <v>443483.54024458327</v>
      </c>
      <c r="O9" s="84">
        <f t="shared" si="1"/>
        <v>459005.46415314364</v>
      </c>
      <c r="P9" s="84">
        <f t="shared" si="1"/>
        <v>475070.65539850364</v>
      </c>
      <c r="Q9" s="84">
        <f t="shared" si="1"/>
        <v>491698.12833745126</v>
      </c>
      <c r="R9" s="84">
        <f t="shared" si="1"/>
        <v>508907.56282926199</v>
      </c>
      <c r="S9" s="84">
        <f t="shared" si="1"/>
        <v>526719.32752828614</v>
      </c>
      <c r="T9" s="84">
        <f t="shared" si="1"/>
        <v>545154.50399177615</v>
      </c>
      <c r="U9" s="84">
        <f t="shared" si="1"/>
        <v>564234.91163148824</v>
      </c>
      <c r="V9" s="84">
        <f t="shared" si="1"/>
        <v>583983.13353859028</v>
      </c>
      <c r="W9" s="84">
        <f t="shared" si="1"/>
        <v>604422.54321244091</v>
      </c>
      <c r="X9" s="84">
        <f t="shared" si="1"/>
        <v>625577.33222487627</v>
      </c>
      <c r="Y9" s="84">
        <f t="shared" si="1"/>
        <v>647472.53885274695</v>
      </c>
      <c r="Z9" s="84">
        <f t="shared" si="1"/>
        <v>670134.07771259302</v>
      </c>
      <c r="AA9" s="84">
        <f t="shared" si="1"/>
        <v>693588.7704325337</v>
      </c>
      <c r="AB9" s="84">
        <f t="shared" si="1"/>
        <v>717864.37739767227</v>
      </c>
      <c r="AC9" s="84">
        <f t="shared" si="1"/>
        <v>742989.63060659077</v>
      </c>
      <c r="AD9" s="84">
        <f t="shared" si="1"/>
        <v>768994.26767782134</v>
      </c>
      <c r="AE9" s="84">
        <f t="shared" si="1"/>
        <v>795909.06704654498</v>
      </c>
    </row>
    <row r="10" spans="1:31" x14ac:dyDescent="0.3">
      <c r="A10" s="1" t="s">
        <v>60</v>
      </c>
      <c r="B10" s="84">
        <f>-Operating!E49</f>
        <v>-80500</v>
      </c>
      <c r="C10" s="84">
        <f>B10*(1+$B$5)</f>
        <v>-83317.5</v>
      </c>
      <c r="D10" s="84">
        <f t="shared" ref="D10:AE10" si="2">C10*(1+$B$5)</f>
        <v>-86233.612499999988</v>
      </c>
      <c r="E10" s="84">
        <f t="shared" si="2"/>
        <v>-89251.78893749998</v>
      </c>
      <c r="F10" s="84">
        <f t="shared" si="2"/>
        <v>-92375.601550312465</v>
      </c>
      <c r="G10" s="84">
        <f t="shared" si="2"/>
        <v>-95608.747604573393</v>
      </c>
      <c r="H10" s="84">
        <f t="shared" si="2"/>
        <v>-98955.053770733459</v>
      </c>
      <c r="I10" s="84">
        <f t="shared" si="2"/>
        <v>-102418.48065270913</v>
      </c>
      <c r="J10" s="84">
        <f t="shared" si="2"/>
        <v>-106003.12747555393</v>
      </c>
      <c r="K10" s="84">
        <f t="shared" si="2"/>
        <v>-109713.23693719831</v>
      </c>
      <c r="L10" s="84">
        <f t="shared" si="2"/>
        <v>-113553.20023000024</v>
      </c>
      <c r="M10" s="84">
        <f t="shared" si="2"/>
        <v>-117527.56223805023</v>
      </c>
      <c r="N10" s="84">
        <f t="shared" si="2"/>
        <v>-121641.02691638198</v>
      </c>
      <c r="O10" s="84">
        <f t="shared" si="2"/>
        <v>-125898.46285845533</v>
      </c>
      <c r="P10" s="84">
        <f t="shared" si="2"/>
        <v>-130304.90905850126</v>
      </c>
      <c r="Q10" s="84">
        <f t="shared" si="2"/>
        <v>-134865.5808755488</v>
      </c>
      <c r="R10" s="84">
        <f t="shared" si="2"/>
        <v>-139585.876206193</v>
      </c>
      <c r="S10" s="84">
        <f t="shared" si="2"/>
        <v>-144471.38187340976</v>
      </c>
      <c r="T10" s="84">
        <f t="shared" si="2"/>
        <v>-149527.88023897909</v>
      </c>
      <c r="U10" s="84">
        <f t="shared" si="2"/>
        <v>-154761.35604734335</v>
      </c>
      <c r="V10" s="84">
        <f t="shared" si="2"/>
        <v>-160178.00350900035</v>
      </c>
      <c r="W10" s="84">
        <f t="shared" si="2"/>
        <v>-165784.23363181535</v>
      </c>
      <c r="X10" s="84">
        <f t="shared" si="2"/>
        <v>-171586.68180892887</v>
      </c>
      <c r="Y10" s="84">
        <f t="shared" si="2"/>
        <v>-177592.21567224138</v>
      </c>
      <c r="Z10" s="84">
        <f t="shared" si="2"/>
        <v>-183807.94322076981</v>
      </c>
      <c r="AA10" s="84">
        <f t="shared" si="2"/>
        <v>-190241.22123349673</v>
      </c>
      <c r="AB10" s="84">
        <f t="shared" si="2"/>
        <v>-196899.66397666911</v>
      </c>
      <c r="AC10" s="84">
        <f t="shared" si="2"/>
        <v>-203791.15221585252</v>
      </c>
      <c r="AD10" s="84">
        <f t="shared" si="2"/>
        <v>-210923.84254340734</v>
      </c>
      <c r="AE10" s="84">
        <f t="shared" si="2"/>
        <v>-218306.17703242658</v>
      </c>
    </row>
    <row r="11" spans="1:31" x14ac:dyDescent="0.3">
      <c r="A11" s="1" t="s">
        <v>107</v>
      </c>
      <c r="B11" s="84">
        <f>SUM(B9:B10)</f>
        <v>212990</v>
      </c>
      <c r="C11" s="84">
        <f t="shared" ref="C11:AE11" si="3">SUM(C9:C10)</f>
        <v>220444.64999999997</v>
      </c>
      <c r="D11" s="84">
        <f t="shared" si="3"/>
        <v>228160.21274999995</v>
      </c>
      <c r="E11" s="84">
        <f t="shared" si="3"/>
        <v>236145.82019624993</v>
      </c>
      <c r="F11" s="84">
        <f t="shared" si="3"/>
        <v>244410.92390311864</v>
      </c>
      <c r="G11" s="84">
        <f t="shared" si="3"/>
        <v>252965.30623972783</v>
      </c>
      <c r="H11" s="84">
        <f t="shared" si="3"/>
        <v>261819.09195811825</v>
      </c>
      <c r="I11" s="84">
        <f t="shared" si="3"/>
        <v>270982.76017665234</v>
      </c>
      <c r="J11" s="84">
        <f t="shared" si="3"/>
        <v>280467.15678283514</v>
      </c>
      <c r="K11" s="84">
        <f t="shared" si="3"/>
        <v>290283.50727023435</v>
      </c>
      <c r="L11" s="84">
        <f t="shared" si="3"/>
        <v>300443.43002469256</v>
      </c>
      <c r="M11" s="84">
        <f t="shared" si="3"/>
        <v>310958.95007555682</v>
      </c>
      <c r="N11" s="84">
        <f t="shared" si="3"/>
        <v>321842.51332820131</v>
      </c>
      <c r="O11" s="84">
        <f t="shared" si="3"/>
        <v>333107.00129468832</v>
      </c>
      <c r="P11" s="84">
        <f t="shared" si="3"/>
        <v>344765.7463400024</v>
      </c>
      <c r="Q11" s="84">
        <f t="shared" si="3"/>
        <v>356832.54746190249</v>
      </c>
      <c r="R11" s="84">
        <f t="shared" si="3"/>
        <v>369321.68662306899</v>
      </c>
      <c r="S11" s="84">
        <f t="shared" si="3"/>
        <v>382247.94565487641</v>
      </c>
      <c r="T11" s="84">
        <f t="shared" si="3"/>
        <v>395626.62375279702</v>
      </c>
      <c r="U11" s="84">
        <f t="shared" si="3"/>
        <v>409473.55558414489</v>
      </c>
      <c r="V11" s="84">
        <f t="shared" si="3"/>
        <v>423805.13002958993</v>
      </c>
      <c r="W11" s="84">
        <f t="shared" si="3"/>
        <v>438638.30958062556</v>
      </c>
      <c r="X11" s="84">
        <f t="shared" si="3"/>
        <v>453990.65041594743</v>
      </c>
      <c r="Y11" s="84">
        <f t="shared" si="3"/>
        <v>469880.32318050554</v>
      </c>
      <c r="Z11" s="84">
        <f t="shared" si="3"/>
        <v>486326.13449182321</v>
      </c>
      <c r="AA11" s="84">
        <f t="shared" si="3"/>
        <v>503347.54919903696</v>
      </c>
      <c r="AB11" s="84">
        <f t="shared" si="3"/>
        <v>520964.71342100319</v>
      </c>
      <c r="AC11" s="84">
        <f t="shared" si="3"/>
        <v>539198.47839073825</v>
      </c>
      <c r="AD11" s="84">
        <f t="shared" si="3"/>
        <v>558070.42513441399</v>
      </c>
      <c r="AE11" s="84">
        <f t="shared" si="3"/>
        <v>577602.8900141184</v>
      </c>
    </row>
    <row r="12" spans="1:31" x14ac:dyDescent="0.3">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row>
    <row r="13" spans="1:31" x14ac:dyDescent="0.3">
      <c r="A13" s="1" t="s">
        <v>122</v>
      </c>
      <c r="B13" s="84">
        <f>-Financing!$B$15</f>
        <v>-177491.66666666607</v>
      </c>
      <c r="C13" s="84">
        <f>-Financing!$B$15</f>
        <v>-177491.66666666607</v>
      </c>
      <c r="D13" s="84">
        <f>-Financing!$B$15</f>
        <v>-177491.66666666607</v>
      </c>
      <c r="E13" s="84">
        <f>-Financing!$B$15</f>
        <v>-177491.66666666607</v>
      </c>
      <c r="F13" s="84">
        <f>-Financing!$B$15</f>
        <v>-177491.66666666607</v>
      </c>
      <c r="G13" s="84">
        <f>-Financing!$B$15</f>
        <v>-177491.66666666607</v>
      </c>
      <c r="H13" s="84">
        <f>-Financing!$B$15</f>
        <v>-177491.66666666607</v>
      </c>
      <c r="I13" s="84">
        <f>-Financing!$B$15</f>
        <v>-177491.66666666607</v>
      </c>
      <c r="J13" s="84">
        <f>-Financing!$B$15</f>
        <v>-177491.66666666607</v>
      </c>
      <c r="K13" s="84">
        <f>-Financing!$B$15</f>
        <v>-177491.66666666607</v>
      </c>
      <c r="L13" s="84">
        <f>-Financing!$B$15</f>
        <v>-177491.66666666607</v>
      </c>
      <c r="M13" s="84">
        <f>-Financing!$B$15</f>
        <v>-177491.66666666607</v>
      </c>
      <c r="N13" s="84">
        <f>-Financing!$B$15</f>
        <v>-177491.66666666607</v>
      </c>
      <c r="O13" s="84">
        <f>-Financing!$B$15</f>
        <v>-177491.66666666607</v>
      </c>
      <c r="P13" s="84">
        <f>-Financing!$B$15</f>
        <v>-177491.66666666607</v>
      </c>
      <c r="Q13" s="84">
        <f>-Financing!$B$15</f>
        <v>-177491.66666666607</v>
      </c>
      <c r="R13" s="84">
        <f>-Financing!$B$15</f>
        <v>-177491.66666666607</v>
      </c>
      <c r="S13" s="84">
        <f>-Financing!$B$15</f>
        <v>-177491.66666666607</v>
      </c>
      <c r="T13" s="84">
        <f>-Financing!$B$15</f>
        <v>-177491.66666666607</v>
      </c>
      <c r="U13" s="84">
        <f>-Financing!$B$15</f>
        <v>-177491.66666666607</v>
      </c>
      <c r="V13" s="84">
        <f>-Financing!$B$15</f>
        <v>-177491.66666666607</v>
      </c>
      <c r="W13" s="84">
        <f>-Financing!$B$15</f>
        <v>-177491.66666666607</v>
      </c>
      <c r="X13" s="84">
        <f>-Financing!$B$15</f>
        <v>-177491.66666666607</v>
      </c>
      <c r="Y13" s="84">
        <f>-Financing!$B$15</f>
        <v>-177491.66666666607</v>
      </c>
      <c r="Z13" s="84">
        <f>-Financing!$B$15</f>
        <v>-177491.66666666607</v>
      </c>
      <c r="AA13" s="84">
        <f>-Financing!$B$15</f>
        <v>-177491.66666666607</v>
      </c>
      <c r="AB13" s="84">
        <f>-Financing!$B$15</f>
        <v>-177491.66666666607</v>
      </c>
      <c r="AC13" s="84">
        <f>-Financing!$B$15</f>
        <v>-177491.66666666607</v>
      </c>
      <c r="AD13" s="84">
        <f>-Financing!$B$15</f>
        <v>-177491.66666666607</v>
      </c>
      <c r="AE13" s="84">
        <f>-Financing!$B$15</f>
        <v>-177491.66666666607</v>
      </c>
    </row>
    <row r="14" spans="1:31" x14ac:dyDescent="0.3">
      <c r="A14" s="1" t="s">
        <v>123</v>
      </c>
      <c r="B14" s="84">
        <f t="shared" ref="B14:AE14" si="4">B11+B13</f>
        <v>35498.333333333925</v>
      </c>
      <c r="C14" s="84">
        <f t="shared" si="4"/>
        <v>42952.98333333389</v>
      </c>
      <c r="D14" s="84">
        <f t="shared" si="4"/>
        <v>50668.546083333873</v>
      </c>
      <c r="E14" s="84">
        <f t="shared" si="4"/>
        <v>58654.153529583855</v>
      </c>
      <c r="F14" s="84">
        <f t="shared" si="4"/>
        <v>66919.257236452569</v>
      </c>
      <c r="G14" s="84">
        <f t="shared" si="4"/>
        <v>75473.639573061751</v>
      </c>
      <c r="H14" s="84">
        <f t="shared" si="4"/>
        <v>84327.425291452178</v>
      </c>
      <c r="I14" s="84">
        <f t="shared" si="4"/>
        <v>93491.093509986269</v>
      </c>
      <c r="J14" s="84">
        <f t="shared" si="4"/>
        <v>102975.49011616907</v>
      </c>
      <c r="K14" s="84">
        <f t="shared" si="4"/>
        <v>112791.84060356827</v>
      </c>
      <c r="L14" s="84">
        <f t="shared" si="4"/>
        <v>122951.76335802648</v>
      </c>
      <c r="M14" s="84">
        <f t="shared" si="4"/>
        <v>133467.28340889074</v>
      </c>
      <c r="N14" s="84">
        <f t="shared" si="4"/>
        <v>144350.84666153524</v>
      </c>
      <c r="O14" s="84">
        <f t="shared" si="4"/>
        <v>155615.33462802225</v>
      </c>
      <c r="P14" s="84">
        <f t="shared" si="4"/>
        <v>167274.07967333632</v>
      </c>
      <c r="Q14" s="84">
        <f t="shared" si="4"/>
        <v>179340.88079523641</v>
      </c>
      <c r="R14" s="84">
        <f t="shared" si="4"/>
        <v>191830.01995640292</v>
      </c>
      <c r="S14" s="84">
        <f t="shared" si="4"/>
        <v>204756.27898821034</v>
      </c>
      <c r="T14" s="84">
        <f t="shared" si="4"/>
        <v>218134.95708613095</v>
      </c>
      <c r="U14" s="84">
        <f t="shared" si="4"/>
        <v>231981.88891747882</v>
      </c>
      <c r="V14" s="84">
        <f t="shared" si="4"/>
        <v>246313.46336292385</v>
      </c>
      <c r="W14" s="84">
        <f t="shared" si="4"/>
        <v>261146.64291395948</v>
      </c>
      <c r="X14" s="84">
        <f t="shared" si="4"/>
        <v>276498.98374928138</v>
      </c>
      <c r="Y14" s="84">
        <f t="shared" si="4"/>
        <v>292388.65651383949</v>
      </c>
      <c r="Z14" s="84">
        <f t="shared" si="4"/>
        <v>308834.4678251571</v>
      </c>
      <c r="AA14" s="84">
        <f t="shared" si="4"/>
        <v>325855.88253237086</v>
      </c>
      <c r="AB14" s="84">
        <f t="shared" si="4"/>
        <v>343473.04675433715</v>
      </c>
      <c r="AC14" s="84">
        <f t="shared" si="4"/>
        <v>361706.81172407221</v>
      </c>
      <c r="AD14" s="84">
        <f t="shared" si="4"/>
        <v>380578.75846774795</v>
      </c>
      <c r="AE14" s="84">
        <f t="shared" si="4"/>
        <v>400111.22334745235</v>
      </c>
    </row>
    <row r="15" spans="1:31" x14ac:dyDescent="0.3">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row>
    <row r="16" spans="1:31" x14ac:dyDescent="0.3">
      <c r="A16" s="1" t="s">
        <v>124</v>
      </c>
      <c r="B16" s="84">
        <f t="shared" ref="B16:AE16" si="5">B11/$B$3</f>
        <v>5324750</v>
      </c>
      <c r="C16" s="84">
        <f t="shared" si="5"/>
        <v>5511116.2499999991</v>
      </c>
      <c r="D16" s="84">
        <f t="shared" si="5"/>
        <v>5704005.3187499987</v>
      </c>
      <c r="E16" s="84">
        <f t="shared" si="5"/>
        <v>5903645.5049062483</v>
      </c>
      <c r="F16" s="84">
        <f t="shared" si="5"/>
        <v>6110273.0975779658</v>
      </c>
      <c r="G16" s="84">
        <f t="shared" si="5"/>
        <v>6324132.6559931953</v>
      </c>
      <c r="H16" s="84">
        <f t="shared" si="5"/>
        <v>6545477.2989529558</v>
      </c>
      <c r="I16" s="84">
        <f t="shared" si="5"/>
        <v>6774569.0044163084</v>
      </c>
      <c r="J16" s="84">
        <f t="shared" si="5"/>
        <v>7011678.9195708781</v>
      </c>
      <c r="K16" s="84">
        <f t="shared" si="5"/>
        <v>7257087.6817558585</v>
      </c>
      <c r="L16" s="84">
        <f t="shared" si="5"/>
        <v>7511085.7506173141</v>
      </c>
      <c r="M16" s="84">
        <f t="shared" si="5"/>
        <v>7773973.7518889206</v>
      </c>
      <c r="N16" s="84">
        <f t="shared" si="5"/>
        <v>8046062.8332050331</v>
      </c>
      <c r="O16" s="84">
        <f t="shared" si="5"/>
        <v>8327675.032367208</v>
      </c>
      <c r="P16" s="84">
        <f t="shared" si="5"/>
        <v>8619143.6585000604</v>
      </c>
      <c r="Q16" s="84">
        <f t="shared" si="5"/>
        <v>8920813.6865475625</v>
      </c>
      <c r="R16" s="84">
        <f t="shared" si="5"/>
        <v>9233042.1655767243</v>
      </c>
      <c r="S16" s="84">
        <f t="shared" si="5"/>
        <v>9556198.6413719095</v>
      </c>
      <c r="T16" s="84">
        <f t="shared" si="5"/>
        <v>9890665.5938199256</v>
      </c>
      <c r="U16" s="84">
        <f t="shared" si="5"/>
        <v>10236838.889603622</v>
      </c>
      <c r="V16" s="84">
        <f t="shared" si="5"/>
        <v>10595128.250739748</v>
      </c>
      <c r="W16" s="84">
        <f t="shared" si="5"/>
        <v>10965957.739515638</v>
      </c>
      <c r="X16" s="84">
        <f t="shared" si="5"/>
        <v>11349766.260398686</v>
      </c>
      <c r="Y16" s="84">
        <f t="shared" si="5"/>
        <v>11747008.079512639</v>
      </c>
      <c r="Z16" s="84">
        <f t="shared" si="5"/>
        <v>12158153.362295579</v>
      </c>
      <c r="AA16" s="84">
        <f t="shared" si="5"/>
        <v>12583688.729975924</v>
      </c>
      <c r="AB16" s="84">
        <f t="shared" si="5"/>
        <v>13024117.835525079</v>
      </c>
      <c r="AC16" s="84">
        <f t="shared" si="5"/>
        <v>13479961.959768455</v>
      </c>
      <c r="AD16" s="84">
        <f t="shared" si="5"/>
        <v>13951760.62836035</v>
      </c>
      <c r="AE16" s="84">
        <f t="shared" si="5"/>
        <v>14440072.25035296</v>
      </c>
    </row>
    <row r="17" spans="1:31" x14ac:dyDescent="0.3">
      <c r="A17" s="1" t="s">
        <v>125</v>
      </c>
      <c r="B17" s="84">
        <f>-Financing!B25</f>
        <v>-2313936.0345683359</v>
      </c>
      <c r="C17" s="84">
        <f>-Financing!C25</f>
        <v>-2286028.5295774862</v>
      </c>
      <c r="D17" s="84">
        <f>-Financing!D25</f>
        <v>-2256252.0072926297</v>
      </c>
      <c r="E17" s="84">
        <f>-Financing!E25</f>
        <v>-2224481.2961641625</v>
      </c>
      <c r="F17" s="84">
        <f>-Financing!F25</f>
        <v>-2190582.8416719837</v>
      </c>
      <c r="G17" s="84">
        <f>-Financing!G25</f>
        <v>-2154414.1449024412</v>
      </c>
      <c r="H17" s="84">
        <f>-Financing!H25</f>
        <v>-2115823.1635257239</v>
      </c>
      <c r="I17" s="84">
        <f>-Financing!I25</f>
        <v>-2074647.6726556129</v>
      </c>
      <c r="J17" s="84">
        <f>-Financing!J25</f>
        <v>-2030714.582904818</v>
      </c>
      <c r="K17" s="84">
        <f>-Financing!K25</f>
        <v>-1983839.212769219</v>
      </c>
      <c r="L17" s="84">
        <f>-Financing!L25</f>
        <v>-1933824.5122823347</v>
      </c>
      <c r="M17" s="84">
        <f>-Financing!M25</f>
        <v>-1880460.2346764924</v>
      </c>
      <c r="N17" s="84">
        <f>-Financing!N25</f>
        <v>-1823522.0525686103</v>
      </c>
      <c r="O17" s="84">
        <f>-Financing!O25</f>
        <v>-1762770.6149553063</v>
      </c>
      <c r="P17" s="84">
        <f>-Financing!P25</f>
        <v>-1697950.5410532232</v>
      </c>
      <c r="Q17" s="84">
        <f>-Financing!Q25</f>
        <v>-1628789.3467549777</v>
      </c>
      <c r="R17" s="84">
        <f>-Financing!R25</f>
        <v>-1554996.2991878719</v>
      </c>
      <c r="S17" s="84">
        <f>-Financing!S25</f>
        <v>-1476261.1945602866</v>
      </c>
      <c r="T17" s="84">
        <f>-Financing!T25</f>
        <v>-1392253.0541581796</v>
      </c>
      <c r="U17" s="84">
        <f>-Financing!U25</f>
        <v>-1302618.7330100555</v>
      </c>
      <c r="V17" s="84">
        <f>-Financing!V25</f>
        <v>-1206981.4353716522</v>
      </c>
      <c r="W17" s="84">
        <f>-Financing!W25</f>
        <v>-1104939.1307898881</v>
      </c>
      <c r="X17" s="84">
        <f>-Financing!X25</f>
        <v>-996062.86408767814</v>
      </c>
      <c r="Y17" s="84">
        <f>-Financing!Y25</f>
        <v>-879894.95216530096</v>
      </c>
      <c r="Z17" s="84">
        <f>-Financing!Z25</f>
        <v>-755947.06003821641</v>
      </c>
      <c r="AA17" s="84">
        <f>-Financing!AA25</f>
        <v>-623698.14802357217</v>
      </c>
      <c r="AB17" s="84">
        <f>-Financing!AB25</f>
        <v>-482592.28144598915</v>
      </c>
      <c r="AC17" s="84">
        <f>-Financing!AC25</f>
        <v>-332036.29365528433</v>
      </c>
      <c r="AD17" s="84">
        <f>-Financing!AD25</f>
        <v>-171397.29253216725</v>
      </c>
      <c r="AE17" s="84">
        <f>-Financing!AE25</f>
        <v>0</v>
      </c>
    </row>
    <row r="18" spans="1:31" x14ac:dyDescent="0.3">
      <c r="A18" s="1" t="s">
        <v>126</v>
      </c>
      <c r="B18" s="84">
        <f t="shared" ref="B18:AE18" si="6">SUM(B16:B17)</f>
        <v>3010813.9654316641</v>
      </c>
      <c r="C18" s="84">
        <f t="shared" si="6"/>
        <v>3225087.7204225129</v>
      </c>
      <c r="D18" s="84">
        <f t="shared" si="6"/>
        <v>3447753.311457369</v>
      </c>
      <c r="E18" s="84">
        <f t="shared" si="6"/>
        <v>3679164.2087420858</v>
      </c>
      <c r="F18" s="84">
        <f t="shared" si="6"/>
        <v>3919690.2559059821</v>
      </c>
      <c r="G18" s="84">
        <f t="shared" si="6"/>
        <v>4169718.5110907541</v>
      </c>
      <c r="H18" s="84">
        <f t="shared" si="6"/>
        <v>4429654.1354272319</v>
      </c>
      <c r="I18" s="84">
        <f t="shared" si="6"/>
        <v>4699921.3317606952</v>
      </c>
      <c r="J18" s="84">
        <f t="shared" si="6"/>
        <v>4980964.3366660606</v>
      </c>
      <c r="K18" s="84">
        <f t="shared" si="6"/>
        <v>5273248.4689866398</v>
      </c>
      <c r="L18" s="84">
        <f t="shared" si="6"/>
        <v>5577261.2383349799</v>
      </c>
      <c r="M18" s="84">
        <f t="shared" si="6"/>
        <v>5893513.5172124282</v>
      </c>
      <c r="N18" s="84">
        <f t="shared" si="6"/>
        <v>6222540.7806364223</v>
      </c>
      <c r="O18" s="84">
        <f t="shared" si="6"/>
        <v>6564904.417411902</v>
      </c>
      <c r="P18" s="84">
        <f t="shared" si="6"/>
        <v>6921193.117446837</v>
      </c>
      <c r="Q18" s="84">
        <f t="shared" si="6"/>
        <v>7292024.339792585</v>
      </c>
      <c r="R18" s="84">
        <f t="shared" si="6"/>
        <v>7678045.8663888527</v>
      </c>
      <c r="S18" s="84">
        <f t="shared" si="6"/>
        <v>8079937.4468116229</v>
      </c>
      <c r="T18" s="84">
        <f t="shared" si="6"/>
        <v>8498412.5396617465</v>
      </c>
      <c r="U18" s="84">
        <f t="shared" si="6"/>
        <v>8934220.1565935668</v>
      </c>
      <c r="V18" s="84">
        <f t="shared" si="6"/>
        <v>9388146.8153680954</v>
      </c>
      <c r="W18" s="84">
        <f t="shared" si="6"/>
        <v>9861018.608725749</v>
      </c>
      <c r="X18" s="84">
        <f t="shared" si="6"/>
        <v>10353703.396311007</v>
      </c>
      <c r="Y18" s="84">
        <f t="shared" si="6"/>
        <v>10867113.127347339</v>
      </c>
      <c r="Z18" s="84">
        <f t="shared" si="6"/>
        <v>11402206.302257363</v>
      </c>
      <c r="AA18" s="84">
        <f t="shared" si="6"/>
        <v>11959990.581952352</v>
      </c>
      <c r="AB18" s="84">
        <f t="shared" si="6"/>
        <v>12541525.554079089</v>
      </c>
      <c r="AC18" s="84">
        <f t="shared" si="6"/>
        <v>13147925.666113172</v>
      </c>
      <c r="AD18" s="84">
        <f t="shared" si="6"/>
        <v>13780363.335828183</v>
      </c>
      <c r="AE18" s="84">
        <f t="shared" si="6"/>
        <v>14440072.25035296</v>
      </c>
    </row>
    <row r="19" spans="1:31" x14ac:dyDescent="0.3">
      <c r="A19" s="1" t="s">
        <v>127</v>
      </c>
      <c r="B19" s="84">
        <f t="shared" ref="B19:AE19" si="7">IF(B7&lt;=$E$3,(-B8+B14+IF(B7=$E$3,B18,0)),0)</f>
        <v>-1529631.8296388076</v>
      </c>
      <c r="C19" s="84">
        <f t="shared" si="7"/>
        <v>42952.98333333389</v>
      </c>
      <c r="D19" s="84">
        <f t="shared" si="7"/>
        <v>50668.546083333873</v>
      </c>
      <c r="E19" s="84">
        <f t="shared" si="7"/>
        <v>58654.153529583855</v>
      </c>
      <c r="F19" s="84">
        <f t="shared" si="7"/>
        <v>66919.257236452569</v>
      </c>
      <c r="G19" s="84">
        <f t="shared" si="7"/>
        <v>75473.639573061751</v>
      </c>
      <c r="H19" s="84">
        <f t="shared" si="7"/>
        <v>84327.425291452178</v>
      </c>
      <c r="I19" s="84">
        <f t="shared" si="7"/>
        <v>93491.093509986269</v>
      </c>
      <c r="J19" s="84">
        <f t="shared" si="7"/>
        <v>102975.49011616907</v>
      </c>
      <c r="K19" s="84">
        <f t="shared" si="7"/>
        <v>5386040.3095902083</v>
      </c>
      <c r="L19" s="84">
        <f t="shared" si="7"/>
        <v>0</v>
      </c>
      <c r="M19" s="84">
        <f t="shared" si="7"/>
        <v>0</v>
      </c>
      <c r="N19" s="84">
        <f t="shared" si="7"/>
        <v>0</v>
      </c>
      <c r="O19" s="84">
        <f t="shared" si="7"/>
        <v>0</v>
      </c>
      <c r="P19" s="84">
        <f t="shared" si="7"/>
        <v>0</v>
      </c>
      <c r="Q19" s="84">
        <f t="shared" si="7"/>
        <v>0</v>
      </c>
      <c r="R19" s="84">
        <f t="shared" si="7"/>
        <v>0</v>
      </c>
      <c r="S19" s="84">
        <f t="shared" si="7"/>
        <v>0</v>
      </c>
      <c r="T19" s="84">
        <f t="shared" si="7"/>
        <v>0</v>
      </c>
      <c r="U19" s="84">
        <f t="shared" si="7"/>
        <v>0</v>
      </c>
      <c r="V19" s="84">
        <f t="shared" si="7"/>
        <v>0</v>
      </c>
      <c r="W19" s="84">
        <f t="shared" si="7"/>
        <v>0</v>
      </c>
      <c r="X19" s="84">
        <f t="shared" si="7"/>
        <v>0</v>
      </c>
      <c r="Y19" s="84">
        <f t="shared" si="7"/>
        <v>0</v>
      </c>
      <c r="Z19" s="84">
        <f t="shared" si="7"/>
        <v>0</v>
      </c>
      <c r="AA19" s="84">
        <f t="shared" si="7"/>
        <v>0</v>
      </c>
      <c r="AB19" s="84">
        <f t="shared" si="7"/>
        <v>0</v>
      </c>
      <c r="AC19" s="84">
        <f t="shared" si="7"/>
        <v>0</v>
      </c>
      <c r="AD19" s="84">
        <f t="shared" si="7"/>
        <v>0</v>
      </c>
      <c r="AE19" s="84">
        <f t="shared" si="7"/>
        <v>0</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80e4d9-f90f-4d56-b9a4-231c0029059b">
      <Terms xmlns="http://schemas.microsoft.com/office/infopath/2007/PartnerControls"/>
    </lcf76f155ced4ddcb4097134ff3c332f>
    <TaxCatchAll xmlns="1f0b2eb3-61f4-4cdd-82ce-95daa35ba30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03A35934378346B171F804E7896BD6" ma:contentTypeVersion="18" ma:contentTypeDescription="Create a new document." ma:contentTypeScope="" ma:versionID="05bae00a185700253ea6c168ebfd5f6a">
  <xsd:schema xmlns:xsd="http://www.w3.org/2001/XMLSchema" xmlns:xs="http://www.w3.org/2001/XMLSchema" xmlns:p="http://schemas.microsoft.com/office/2006/metadata/properties" xmlns:ns2="a880e4d9-f90f-4d56-b9a4-231c0029059b" xmlns:ns3="1f0b2eb3-61f4-4cdd-82ce-95daa35ba30f" targetNamespace="http://schemas.microsoft.com/office/2006/metadata/properties" ma:root="true" ma:fieldsID="64f314950f09615b68b262ee9e5bc7a6" ns2:_="" ns3:_="">
    <xsd:import namespace="a880e4d9-f90f-4d56-b9a4-231c0029059b"/>
    <xsd:import namespace="1f0b2eb3-61f4-4cdd-82ce-95daa35ba3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0e4d9-f90f-4d56-b9a4-231c00290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940289e-7c2c-41a1-9630-5237cb6f5e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0b2eb3-61f4-4cdd-82ce-95daa35ba3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8f4757c-3079-4f85-afb9-f70cad9d1221}" ma:internalName="TaxCatchAll" ma:showField="CatchAllData" ma:web="1f0b2eb3-61f4-4cdd-82ce-95daa35ba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D2AF2B-5485-4761-A217-9A73FC8E04EE}">
  <ds:schemaRefs>
    <ds:schemaRef ds:uri="http://purl.org/dc/elements/1.1/"/>
    <ds:schemaRef ds:uri="a880e4d9-f90f-4d56-b9a4-231c0029059b"/>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1f0b2eb3-61f4-4cdd-82ce-95daa35ba30f"/>
    <ds:schemaRef ds:uri="http://www.w3.org/XML/1998/namespace"/>
  </ds:schemaRefs>
</ds:datastoreItem>
</file>

<file path=customXml/itemProps2.xml><?xml version="1.0" encoding="utf-8"?>
<ds:datastoreItem xmlns:ds="http://schemas.openxmlformats.org/officeDocument/2006/customXml" ds:itemID="{944272AD-FF42-469D-8540-15702B41FB18}">
  <ds:schemaRefs>
    <ds:schemaRef ds:uri="http://schemas.microsoft.com/sharepoint/v3/contenttype/forms"/>
  </ds:schemaRefs>
</ds:datastoreItem>
</file>

<file path=customXml/itemProps3.xml><?xml version="1.0" encoding="utf-8"?>
<ds:datastoreItem xmlns:ds="http://schemas.openxmlformats.org/officeDocument/2006/customXml" ds:itemID="{371A8ACD-8541-4E83-8090-1740DF45ED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0e4d9-f90f-4d56-b9a4-231c0029059b"/>
    <ds:schemaRef ds:uri="1f0b2eb3-61f4-4cdd-82ce-95daa35ba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Summary</vt:lpstr>
      <vt:lpstr>Assumptions</vt:lpstr>
      <vt:lpstr>Dev Program</vt:lpstr>
      <vt:lpstr>Dev Costs</vt:lpstr>
      <vt:lpstr>Operating</vt:lpstr>
      <vt:lpstr>IZ Units</vt:lpstr>
      <vt:lpstr>Affordability</vt:lpstr>
      <vt:lpstr>Financing</vt:lpstr>
      <vt:lpstr>Profitability</vt:lpstr>
      <vt:lpstr>Ownership</vt:lpstr>
      <vt:lpstr>EOHLC Checklist</vt:lpstr>
      <vt:lpstr>'IZ Units'!Print_Area</vt:lpstr>
    </vt:vector>
  </TitlesOfParts>
  <Manager/>
  <Company>Metropolitan Area Planning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Alexis</dc:creator>
  <cp:keywords/>
  <dc:description/>
  <cp:lastModifiedBy>Smith, Alexis</cp:lastModifiedBy>
  <cp:revision/>
  <dcterms:created xsi:type="dcterms:W3CDTF">2019-01-12T16:12:49Z</dcterms:created>
  <dcterms:modified xsi:type="dcterms:W3CDTF">2024-03-08T15:27:24Z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0x0101006C03A35934378346B171F804E7896BD6</vt:lpwstr>
  </property>
  <property fmtid="{D5CDD505-2E9C-101B-9397-08002B2CF9AE}" pid="3" name="MediaServiceImageTags">
    <vt:lpwstr/>
  </property>
</Properties>
</file>